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codeName="ThisWorkbook" autoCompressPictures="0"/>
  <mc:AlternateContent xmlns:mc="http://schemas.openxmlformats.org/markup-compatibility/2006">
    <mc:Choice Requires="x15">
      <x15ac:absPath xmlns:x15ac="http://schemas.microsoft.com/office/spreadsheetml/2010/11/ac" url="C:\Users\cbacon\Desktop\Conflict Minerals\2024\"/>
    </mc:Choice>
  </mc:AlternateContent>
  <xr:revisionPtr revIDLastSave="0" documentId="8_{655C5A56-636D-4AF0-BA19-BE35D8194C6B}" xr6:coauthVersionLast="36" xr6:coauthVersionMax="36"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0" yWindow="0" windowWidth="28800" windowHeight="1223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T40" i="5"/>
  <c r="S41" i="5"/>
  <c r="T41" i="5"/>
  <c r="S42" i="5"/>
  <c r="T42" i="5"/>
  <c r="S43" i="5"/>
  <c r="T43" i="5"/>
  <c r="S44" i="5"/>
  <c r="T44" i="5"/>
  <c r="S45" i="5"/>
  <c r="T45" i="5"/>
  <c r="S46" i="5"/>
  <c r="T46" i="5"/>
  <c r="S47" i="5"/>
  <c r="T47" i="5"/>
  <c r="S48" i="5"/>
  <c r="T48" i="5"/>
  <c r="S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S5" i="5"/>
  <c r="T5" i="5"/>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9" i="5"/>
  <c r="R2499" i="5"/>
  <c r="J2499" i="5"/>
  <c r="I2499" i="5"/>
  <c r="H2499" i="5"/>
  <c r="G2499" i="5"/>
  <c r="F2499" i="5"/>
  <c r="P27" i="4"/>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R288" i="5"/>
  <c r="J309" i="5"/>
  <c r="J320"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J315"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J202" i="5"/>
  <c r="S197" i="5"/>
  <c r="S192" i="5"/>
  <c r="J190" i="5"/>
  <c r="R186" i="5"/>
  <c r="S184" i="5"/>
  <c r="F182" i="5"/>
  <c r="F178" i="5"/>
  <c r="I166" i="5"/>
  <c r="S150" i="5"/>
  <c r="S149" i="5"/>
  <c r="S147" i="5"/>
  <c r="S145" i="5"/>
  <c r="S136" i="5"/>
  <c r="S131" i="5"/>
  <c r="S128" i="5"/>
  <c r="J122" i="5"/>
  <c r="J114" i="5"/>
  <c r="S112" i="5"/>
  <c r="S107" i="5"/>
  <c r="R106" i="5"/>
  <c r="J102" i="5"/>
  <c r="S99" i="5"/>
  <c r="R98" i="5"/>
  <c r="F94" i="5"/>
  <c r="S94" i="5"/>
  <c r="G86" i="5"/>
  <c r="H82" i="5"/>
  <c r="F74" i="5"/>
  <c r="G66" i="5"/>
  <c r="F50" i="5"/>
  <c r="H61" i="4"/>
  <c r="P41" i="4"/>
  <c r="P40" i="4"/>
  <c r="Q37"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20" i="5"/>
  <c r="R44"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9" i="5"/>
  <c r="R33"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805" i="5"/>
  <c r="S1387" i="5"/>
  <c r="S2429" i="5"/>
  <c r="S579" i="5"/>
  <c r="J1191" i="5"/>
  <c r="S837"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1"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S97"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61" i="5"/>
  <c r="S79" i="5"/>
  <c r="S57" i="5"/>
  <c r="S51" i="5"/>
  <c r="S69" i="5"/>
  <c r="S80" i="5"/>
  <c r="S78" i="5"/>
  <c r="S89"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83" i="5"/>
  <c r="J2391" i="5"/>
  <c r="J2053" i="5"/>
  <c r="H80" i="5"/>
  <c r="H603" i="5"/>
  <c r="J1023" i="5"/>
  <c r="G2374" i="5"/>
  <c r="R1822" i="5"/>
  <c r="I2151" i="5"/>
  <c r="J1170" i="5"/>
  <c r="I1266" i="5"/>
  <c r="F80" i="5"/>
  <c r="R80" i="5"/>
  <c r="I315" i="5"/>
  <c r="F539" i="5"/>
  <c r="G139" i="5"/>
  <c r="F1498" i="5"/>
  <c r="H2485" i="5"/>
  <c r="G2485" i="5"/>
  <c r="H746" i="5"/>
  <c r="H2315" i="5"/>
  <c r="J2315" i="5"/>
  <c r="J363" i="5"/>
  <c r="I2061" i="5"/>
  <c r="H1523" i="5"/>
  <c r="R2151" i="5"/>
  <c r="J80"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J139"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J287" i="5"/>
  <c r="R2315" i="5"/>
  <c r="J471" i="5"/>
  <c r="G639" i="5"/>
  <c r="J863" i="5"/>
  <c r="H2418" i="5"/>
  <c r="I80" i="5"/>
  <c r="H1822" i="5"/>
  <c r="I1502" i="5"/>
  <c r="G233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J254"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1125" i="5"/>
  <c r="S659" i="5"/>
  <c r="I346" i="5"/>
  <c r="G858" i="5"/>
  <c r="H149" i="5"/>
  <c r="S1222" i="5"/>
  <c r="S1193" i="5"/>
  <c r="S1145" i="5"/>
  <c r="G989" i="5"/>
  <c r="S317" i="5"/>
  <c r="I2422" i="5"/>
  <c r="J1274" i="5"/>
  <c r="J445" i="5"/>
  <c r="S325" i="5"/>
  <c r="S151" i="5"/>
  <c r="S799" i="5"/>
  <c r="J1934"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F1934" i="5"/>
  <c r="H1878" i="5"/>
  <c r="S183" i="5"/>
  <c r="I106" i="5"/>
  <c r="H767" i="5"/>
  <c r="S1179" i="5"/>
  <c r="S832" i="5"/>
  <c r="S897" i="5"/>
  <c r="S215" i="5"/>
  <c r="S158" i="5"/>
  <c r="G445" i="5"/>
  <c r="J858" i="5"/>
  <c r="R1934"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F2190" i="5"/>
  <c r="I1565" i="5"/>
  <c r="F1250" i="5"/>
  <c r="J959" i="5"/>
  <c r="R454" i="5"/>
  <c r="J658" i="5"/>
  <c r="H454" i="5"/>
  <c r="J2030" i="5"/>
  <c r="J274" i="5"/>
  <c r="H658" i="5"/>
  <c r="I690" i="5"/>
  <c r="F2030" i="5"/>
  <c r="G1934"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1386"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J197" i="5"/>
  <c r="G175" i="5"/>
  <c r="F175" i="5"/>
  <c r="R175" i="5"/>
  <c r="G133" i="5"/>
  <c r="R133" i="5"/>
  <c r="H133" i="5"/>
  <c r="G69" i="5"/>
  <c r="I69"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8" i="5"/>
  <c r="G2194" i="5"/>
  <c r="F2278" i="5"/>
  <c r="F498" i="5"/>
  <c r="J2178" i="5"/>
  <c r="J2194" i="5"/>
  <c r="J35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78" i="5"/>
  <c r="J2370" i="5"/>
  <c r="H2370" i="5"/>
  <c r="I2370" i="5"/>
  <c r="G2370" i="5"/>
  <c r="F2370" i="5"/>
  <c r="R2202" i="5"/>
  <c r="J2202" i="5"/>
  <c r="F2202" i="5"/>
  <c r="I470" i="5"/>
  <c r="R575" i="5"/>
  <c r="J1502" i="5"/>
  <c r="G118" i="5"/>
  <c r="F230" i="5"/>
  <c r="I1893" i="5"/>
  <c r="G165" i="5"/>
  <c r="J165" i="5"/>
  <c r="F165" i="5"/>
  <c r="H165" i="5"/>
  <c r="G101" i="5"/>
  <c r="F101" i="5"/>
  <c r="R101" i="5"/>
  <c r="H101" i="5"/>
  <c r="R40"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205" i="5"/>
  <c r="J919" i="5"/>
  <c r="R119" i="5"/>
  <c r="F183" i="5"/>
  <c r="J1258" i="5"/>
  <c r="R478" i="5"/>
  <c r="H2437" i="5"/>
  <c r="J2429" i="5"/>
  <c r="F1082" i="5"/>
  <c r="S935" i="5"/>
  <c r="J538" i="5"/>
  <c r="F1591" i="5"/>
  <c r="G391" i="5"/>
  <c r="R1483" i="5"/>
  <c r="H1271" i="5"/>
  <c r="I205" i="5"/>
  <c r="R1549" i="5"/>
  <c r="J119" i="5"/>
  <c r="J1322" i="5"/>
  <c r="F989" i="5"/>
  <c r="G1510" i="5"/>
  <c r="I2253" i="5"/>
  <c r="H2374" i="5"/>
  <c r="G902" i="5"/>
  <c r="I2434" i="5"/>
  <c r="I1679" i="5"/>
  <c r="I1463" i="5"/>
  <c r="F2434" i="5"/>
  <c r="S185" i="5"/>
  <c r="R1463" i="5"/>
  <c r="F1301" i="5"/>
  <c r="S1774" i="5"/>
  <c r="J263" i="5"/>
  <c r="H2412" i="5"/>
  <c r="J1463" i="5"/>
  <c r="I1322" i="5"/>
  <c r="I1301" i="5"/>
  <c r="R1510" i="5"/>
  <c r="G1434" i="5"/>
  <c r="J2490" i="5"/>
  <c r="I1710" i="5"/>
  <c r="J1710" i="5"/>
  <c r="S961" i="5"/>
  <c r="H2439" i="5"/>
  <c r="R38" i="5"/>
  <c r="I919" i="5"/>
  <c r="J511" i="5"/>
  <c r="H1510" i="5"/>
  <c r="J1434" i="5"/>
  <c r="I559" i="5"/>
  <c r="R1591" i="5"/>
  <c r="R559" i="5"/>
  <c r="H1463" i="5"/>
  <c r="H1718" i="5"/>
  <c r="R1301" i="5"/>
  <c r="I1053" i="5"/>
  <c r="J2434" i="5"/>
  <c r="I1591" i="5"/>
  <c r="H989" i="5"/>
  <c r="I989" i="5"/>
  <c r="J1110" i="5"/>
  <c r="F1375" i="5"/>
  <c r="G1301" i="5"/>
  <c r="F146" i="5"/>
  <c r="R141" i="5"/>
  <c r="H919" i="5"/>
  <c r="F1854" i="5"/>
  <c r="I1434" i="5"/>
  <c r="J559" i="5"/>
  <c r="G559" i="5"/>
  <c r="H263" i="5"/>
  <c r="J2299" i="5"/>
  <c r="F2374" i="5"/>
  <c r="R22"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111" i="5"/>
  <c r="H1210" i="5"/>
  <c r="J1178" i="5"/>
  <c r="J314" i="5"/>
  <c r="J2242" i="5"/>
  <c r="H2093" i="5"/>
  <c r="R1642" i="5"/>
  <c r="I434" i="5"/>
  <c r="G1210" i="5"/>
  <c r="F1274" i="5"/>
  <c r="I1482" i="5"/>
  <c r="J54" i="5"/>
  <c r="J838" i="5"/>
  <c r="S392" i="5"/>
  <c r="H69" i="5"/>
  <c r="R32" i="5"/>
  <c r="I175" i="5"/>
  <c r="R1242" i="5"/>
  <c r="I2242" i="5"/>
  <c r="R2093" i="5"/>
  <c r="G2106" i="5"/>
  <c r="R1450" i="5"/>
  <c r="F1878" i="5"/>
  <c r="F428" i="5"/>
  <c r="J1210" i="5"/>
  <c r="I54" i="5"/>
  <c r="G1271" i="5"/>
  <c r="S2438" i="5"/>
  <c r="G2229" i="5"/>
  <c r="R69" i="5"/>
  <c r="I133" i="5"/>
  <c r="H197" i="5"/>
  <c r="H999" i="5"/>
  <c r="R48" i="5"/>
  <c r="F111" i="5"/>
  <c r="H750" i="5"/>
  <c r="F2242" i="5"/>
  <c r="J2106" i="5"/>
  <c r="G354" i="5"/>
  <c r="J1450" i="5"/>
  <c r="S310" i="5"/>
  <c r="J69" i="5"/>
  <c r="F197" i="5"/>
  <c r="H175" i="5"/>
  <c r="H2242" i="5"/>
  <c r="R1166" i="5"/>
  <c r="F354" i="5"/>
  <c r="R2262" i="5"/>
  <c r="I354" i="5"/>
  <c r="F2093" i="5"/>
  <c r="G18" i="6"/>
  <c r="H18" i="6"/>
  <c r="D18" i="6"/>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J2226" i="5"/>
  <c r="R2226" i="5"/>
  <c r="G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S153" i="5"/>
  <c r="H434" i="5"/>
  <c r="S925" i="5"/>
  <c r="F806" i="5"/>
  <c r="I428" i="5"/>
  <c r="S759" i="5"/>
  <c r="S821" i="5"/>
  <c r="F226" i="5"/>
  <c r="R1238" i="5"/>
  <c r="G2189" i="5"/>
  <c r="G1078" i="5"/>
  <c r="R950" i="5"/>
  <c r="F591" i="5"/>
  <c r="R591" i="5"/>
  <c r="I591" i="5"/>
  <c r="G798" i="5"/>
  <c r="H798" i="5"/>
  <c r="R798" i="5"/>
  <c r="J1703" i="5"/>
  <c r="G722" i="5"/>
  <c r="I886" i="5"/>
  <c r="H1710" i="5"/>
  <c r="F1510" i="5"/>
  <c r="H2490" i="5"/>
  <c r="R1498" i="5"/>
  <c r="J2182" i="5"/>
  <c r="R1434" i="5"/>
  <c r="R2253" i="5"/>
  <c r="G1018" i="5"/>
  <c r="J1082" i="5"/>
  <c r="S564" i="5"/>
  <c r="S465" i="5"/>
  <c r="H1498" i="5"/>
  <c r="F1434" i="5"/>
  <c r="S512" i="5"/>
  <c r="F370" i="5"/>
  <c r="H754" i="5"/>
  <c r="H886" i="5"/>
  <c r="R1710" i="5"/>
  <c r="J1498" i="5"/>
  <c r="F2437" i="5"/>
  <c r="R2182" i="5"/>
  <c r="G2458" i="5"/>
  <c r="H1434" i="5"/>
  <c r="F1710" i="5"/>
  <c r="G2253" i="5"/>
  <c r="I2490" i="5"/>
  <c r="H2014" i="5"/>
  <c r="H574" i="5"/>
  <c r="I390" i="5"/>
  <c r="S432" i="5"/>
  <c r="S993" i="5"/>
  <c r="S704" i="5"/>
  <c r="H879" i="5"/>
  <c r="H127" i="5"/>
  <c r="F423" i="5"/>
  <c r="I543" i="5"/>
  <c r="F349"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72"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J198" i="5"/>
  <c r="I1453" i="5"/>
  <c r="J32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J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G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A5" i="2"/>
  <c r="C2" i="6"/>
  <c r="D59" i="6"/>
  <c r="R519" i="5"/>
  <c r="H730" i="5"/>
  <c r="H181" i="5"/>
  <c r="R341" i="5"/>
  <c r="H53" i="5"/>
  <c r="J911" i="5"/>
  <c r="J95" i="5"/>
  <c r="H1613" i="5"/>
  <c r="R223" i="5"/>
  <c r="R1527" i="5"/>
  <c r="J1591" i="5"/>
  <c r="G341" i="5"/>
  <c r="H1202" i="5"/>
  <c r="J1298" i="5"/>
  <c r="R2191" i="5"/>
  <c r="I2414" i="5"/>
  <c r="I823" i="5"/>
  <c r="H975" i="5"/>
  <c r="R2335" i="5"/>
  <c r="H1244" i="5"/>
  <c r="G1061" i="5"/>
  <c r="J117" i="5"/>
  <c r="H519" i="5"/>
  <c r="R911" i="5"/>
  <c r="I1039" i="5"/>
  <c r="I1613" i="5"/>
  <c r="F95" i="5"/>
  <c r="J159" i="5"/>
  <c r="J341" i="5"/>
  <c r="I335"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F1679" i="5"/>
  <c r="R2420" i="5"/>
  <c r="G1613" i="5"/>
  <c r="I2303" i="5"/>
  <c r="R399" i="5"/>
  <c r="F399" i="5"/>
  <c r="I1475" i="5"/>
  <c r="F1061" i="5"/>
  <c r="J53" i="5"/>
  <c r="J181" i="5"/>
  <c r="F519" i="5"/>
  <c r="I975" i="5"/>
  <c r="J1475" i="5"/>
  <c r="H223" i="5"/>
  <c r="G335" i="5"/>
  <c r="H117" i="5"/>
  <c r="H1679" i="5"/>
  <c r="H159" i="5"/>
  <c r="R463" i="5"/>
  <c r="I341" i="5"/>
  <c r="R36" i="5"/>
  <c r="J997" i="5"/>
  <c r="J1679" i="5"/>
  <c r="R1679" i="5"/>
  <c r="H599" i="5"/>
  <c r="I2420" i="5"/>
  <c r="F2303" i="5"/>
  <c r="R1234" i="5"/>
  <c r="I1244" i="5"/>
  <c r="F997" i="5"/>
  <c r="G997" i="5"/>
  <c r="I53" i="5"/>
  <c r="R117" i="5"/>
  <c r="I181" i="5"/>
  <c r="J519" i="5"/>
  <c r="H911" i="5"/>
  <c r="F975" i="5"/>
  <c r="I1549" i="5"/>
  <c r="H95" i="5"/>
  <c r="R159" i="5"/>
  <c r="I223" i="5"/>
  <c r="J399" i="5"/>
  <c r="H341" i="5"/>
  <c r="I1423"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R35"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R46" i="5"/>
  <c r="R30"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9"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R24"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I2078" i="5"/>
  <c r="F1325" i="5"/>
  <c r="F64" i="5"/>
  <c r="R952" i="5"/>
  <c r="G166" i="5"/>
  <c r="R655" i="5"/>
  <c r="H2497" i="5"/>
  <c r="F2498" i="5"/>
  <c r="R2498" i="5"/>
  <c r="J2498" i="5"/>
  <c r="I2498" i="5"/>
  <c r="H2498" i="5"/>
  <c r="J184" i="5"/>
  <c r="J1525" i="5"/>
  <c r="R629" i="5"/>
  <c r="R43" i="5"/>
  <c r="S1497" i="5"/>
  <c r="R1701" i="5"/>
  <c r="S494" i="5"/>
  <c r="S480" i="5"/>
  <c r="S1411" i="5"/>
  <c r="S413" i="5"/>
  <c r="S1445" i="5"/>
  <c r="I114" i="5"/>
  <c r="F384" i="5"/>
  <c r="I1525" i="5"/>
  <c r="R2333" i="5"/>
  <c r="S406"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J74" i="5"/>
  <c r="R74" i="5"/>
  <c r="H74" i="5"/>
  <c r="I74" i="5"/>
  <c r="G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9"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R27"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R25" i="5"/>
  <c r="I904" i="5"/>
  <c r="F904" i="5"/>
  <c r="R1184" i="5"/>
  <c r="H1184" i="5"/>
  <c r="G1616" i="5"/>
  <c r="I1616" i="5"/>
  <c r="F1616" i="5"/>
  <c r="R1032" i="5"/>
  <c r="F1032" i="5"/>
  <c r="I144" i="5"/>
  <c r="J144" i="5"/>
  <c r="F144" i="5"/>
  <c r="G144" i="5"/>
  <c r="H144" i="5"/>
  <c r="G600" i="5"/>
  <c r="J600" i="5"/>
  <c r="F600" i="5"/>
  <c r="F320" i="5"/>
  <c r="H888" i="5"/>
  <c r="G1632" i="5"/>
  <c r="F1632" i="5"/>
  <c r="H1632" i="5"/>
  <c r="I168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86" i="5"/>
  <c r="S76" i="5"/>
  <c r="S75" i="5"/>
  <c r="S90" i="5"/>
  <c r="S70" i="5"/>
  <c r="S52" i="5"/>
  <c r="S54" i="5"/>
  <c r="S82" i="5"/>
  <c r="S62" i="5"/>
  <c r="S64" i="5"/>
  <c r="S85"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4" i="5"/>
  <c r="R1251" i="5"/>
  <c r="H1083" i="5"/>
  <c r="G2144" i="5"/>
  <c r="H2144" i="5"/>
  <c r="J1235" i="5"/>
  <c r="H2099" i="5"/>
  <c r="H2419" i="5"/>
  <c r="H212" i="5"/>
  <c r="H1179" i="5"/>
  <c r="F1819" i="5"/>
  <c r="F2099" i="5"/>
  <c r="H2467" i="5"/>
  <c r="A29" i="6"/>
  <c r="R11" i="5"/>
  <c r="R8" i="5"/>
  <c r="I1235" i="5"/>
  <c r="R1179"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R7"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R21" i="5"/>
  <c r="G867" i="5"/>
  <c r="J867" i="5"/>
  <c r="F867" i="5"/>
  <c r="R867" i="5"/>
  <c r="H867" i="5"/>
  <c r="I867" i="5"/>
  <c r="G915" i="5"/>
  <c r="J915" i="5"/>
  <c r="R915" i="5"/>
  <c r="H915" i="5"/>
  <c r="I915" i="5"/>
  <c r="J1139" i="5"/>
  <c r="F1139" i="5"/>
  <c r="G1139" i="5"/>
  <c r="I1139" i="5"/>
  <c r="H1243" i="5"/>
  <c r="H1299" i="5"/>
  <c r="G1363" i="5"/>
  <c r="H1363"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J68" i="5"/>
  <c r="I68" i="5"/>
  <c r="R68" i="5"/>
  <c r="F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R6" i="5"/>
  <c r="I2345" i="5"/>
  <c r="R5" i="5"/>
  <c r="R1268" i="5"/>
  <c r="H1268" i="5"/>
  <c r="F1268" i="5"/>
  <c r="F1156" i="5"/>
  <c r="J1156" i="5"/>
  <c r="I1156" i="5"/>
  <c r="H1156" i="5"/>
  <c r="R1156" i="5"/>
  <c r="J1548" i="5"/>
  <c r="H1548" i="5"/>
  <c r="R1548" i="5"/>
  <c r="I1548" i="5"/>
  <c r="S40" i="5"/>
  <c r="S53" i="5"/>
  <c r="S65" i="5"/>
  <c r="S77" i="5"/>
  <c r="S88" i="5"/>
  <c r="S74" i="5"/>
  <c r="S50" i="5"/>
  <c r="S72" i="5"/>
  <c r="S84" i="5"/>
  <c r="S67" i="5"/>
  <c r="S87" i="5"/>
  <c r="S56" i="5"/>
  <c r="S58" i="5"/>
  <c r="S55" i="5"/>
  <c r="S71" i="5"/>
  <c r="S59" i="5"/>
  <c r="S73" i="5"/>
  <c r="S92" i="5"/>
  <c r="R10" i="5"/>
  <c r="S68" i="5"/>
  <c r="S60"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R1626" i="5"/>
  <c r="G1626" i="5"/>
  <c r="J1626" i="5"/>
  <c r="H1626" i="5"/>
  <c r="F1626" i="5"/>
  <c r="R1898" i="5"/>
  <c r="H1898" i="5"/>
  <c r="J1898" i="5"/>
  <c r="F1898"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3"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F66" i="5"/>
  <c r="R903" i="5"/>
  <c r="G838" i="5"/>
  <c r="R19" i="5"/>
  <c r="G186" i="5"/>
  <c r="H612" i="5"/>
  <c r="R612" i="5"/>
  <c r="H66" i="5"/>
  <c r="F275" i="5"/>
  <c r="F1690" i="5"/>
  <c r="I1690" i="5"/>
  <c r="H1690" i="5"/>
  <c r="H546" i="5"/>
  <c r="H2114" i="5"/>
  <c r="I186" i="5"/>
  <c r="G1690" i="5"/>
  <c r="I189" i="5"/>
  <c r="H186" i="5"/>
  <c r="I66" i="5"/>
  <c r="J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9"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 i="5"/>
  <c r="C19" i="3"/>
  <c r="B37" i="4"/>
  <c r="A22" i="6"/>
  <c r="B20" i="4"/>
  <c r="A11" i="6"/>
  <c r="B71" i="4"/>
  <c r="A49" i="6"/>
  <c r="B4" i="5"/>
  <c r="B10" i="4"/>
  <c r="A6" i="6"/>
  <c r="B22" i="4"/>
  <c r="A13" i="6"/>
  <c r="B4" i="4"/>
  <c r="B18" i="4"/>
  <c r="A10" i="6"/>
  <c r="B55" i="4"/>
  <c r="A37"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H2019" i="5"/>
  <c r="H787" i="5"/>
  <c r="I627" i="5"/>
  <c r="R420" i="5"/>
  <c r="I1852" i="5"/>
  <c r="R1740" i="5"/>
  <c r="F860" i="5"/>
  <c r="F820" i="5"/>
  <c r="F788" i="5"/>
  <c r="J660" i="5"/>
  <c r="J1316" i="5"/>
  <c r="H1540" i="5"/>
  <c r="H636" i="5"/>
  <c r="J1020" i="5"/>
  <c r="F1851" i="5"/>
  <c r="F1747" i="5"/>
  <c r="R1403" i="5"/>
  <c r="J923" i="5"/>
  <c r="R1696" i="5"/>
  <c r="I2475" i="5"/>
  <c r="J1851" i="5"/>
  <c r="J267"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5"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R12"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R37"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5"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1"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J128"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1013" i="5"/>
  <c r="G1093" i="5"/>
  <c r="G661" i="5"/>
  <c r="G517" i="5"/>
  <c r="G845" i="5"/>
  <c r="G54" i="5"/>
  <c r="G653" i="5"/>
  <c r="G981" i="5"/>
  <c r="G541" i="5"/>
  <c r="D6" i="6"/>
  <c r="D23" i="6"/>
  <c r="D5" i="6"/>
  <c r="R16"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7"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B57" i="4"/>
  <c r="A39" i="6"/>
  <c r="B63" i="4"/>
  <c r="A44" i="6"/>
  <c r="D16" i="6"/>
  <c r="K61" i="6"/>
  <c r="B75" i="4"/>
  <c r="A53" i="6"/>
  <c r="I2362" i="5"/>
  <c r="H2362" i="5"/>
  <c r="J2362" i="5"/>
  <c r="C25" i="6"/>
  <c r="R1618" i="5"/>
  <c r="H1618" i="5"/>
  <c r="I1618" i="5"/>
  <c r="J1618" i="5"/>
  <c r="F1618" i="5"/>
  <c r="C31" i="6"/>
  <c r="I1957" i="5"/>
  <c r="I2331" i="5"/>
  <c r="D24" i="6"/>
  <c r="C21" i="6"/>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R34"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R18"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R26"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42"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47"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3"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<sst xmlns="http://schemas.openxmlformats.org/spreadsheetml/2006/main" count="23385" uniqueCount="19222">
  <si>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</si>
  <si>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</si>
  <si>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</si>
  <si>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</si>
  <si>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</si>
  <si>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</si>
  <si>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</si>
  <si>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</si>
  <si>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</si>
  <si>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</si>
  <si>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</si>
  <si>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</si>
  <si>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</si>
  <si>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</si>
  <si>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</si>
  <si>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</si>
  <si>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</si>
  <si>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</si>
  <si>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</si>
  <si>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</si>
  <si>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</si>
  <si>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</si>
  <si>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</si>
  <si>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</si>
  <si>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</si>
  <si>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</si>
  <si>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</si>
  <si>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</si>
  <si>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</si>
  <si>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</si>
  <si>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</si>
  <si>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</si>
  <si>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</si>
  <si>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</si>
  <si>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</si>
  <si>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</si>
  <si>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</si>
  <si>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</si>
  <si>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</si>
  <si>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</si>
  <si>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</si>
  <si>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</si>
  <si>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</si>
  <si>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</si>
  <si>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</si>
  <si>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</si>
  <si>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</si>
  <si>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</si>
  <si>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</si>
  <si>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</si>
  <si>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</si>
  <si>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</si>
  <si>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</si>
  <si>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</si>
  <si>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</si>
  <si>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</si>
  <si>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</si>
  <si>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</si>
  <si>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</si>
  <si>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</si>
  <si>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</si>
  <si>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</si>
  <si>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</si>
  <si>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</si>
  <si>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</si>
  <si>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</si>
  <si>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</si>
  <si>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</si>
  <si>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</si>
  <si>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</si>
  <si>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</si>
  <si>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</si>
  <si>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</si>
  <si>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</si>
  <si>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</si>
  <si>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</si>
  <si>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</si>
  <si>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</si>
  <si>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</si>
  <si>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</si>
  <si>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</si>
  <si>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</si>
  <si>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</si>
  <si>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</si>
  <si>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</si>
  <si>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</si>
  <si>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</si>
  <si>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</si>
  <si>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</si>
  <si>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</si>
  <si>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</si>
  <si>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</si>
  <si>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</si>
  <si>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</si>
  <si>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</si>
  <si>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</si>
  <si>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</si>
  <si>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</si>
  <si>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</si>
  <si>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</si>
  <si>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</si>
  <si>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</si>
  <si>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</si>
  <si>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</si>
  <si>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</si>
  <si>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</si>
  <si>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</si>
  <si>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</si>
  <si>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</si>
  <si>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</si>
  <si>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</si>
  <si>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</si>
  <si>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</si>
  <si>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</si>
  <si>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</si>
  <si>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</si>
  <si>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</si>
  <si>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</si>
  <si>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</si>
  <si>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</si>
  <si>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</si>
  <si>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</si>
  <si>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</si>
  <si>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</si>
  <si>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</si>
  <si>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</si>
  <si>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</si>
  <si>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</si>
  <si>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</si>
  <si>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</si>
  <si>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</si>
  <si>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</si>
  <si>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</si>
  <si>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</si>
  <si>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</si>
  <si>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</si>
  <si>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</si>
  <si>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</si>
  <si>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</si>
  <si>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</si>
  <si>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</si>
  <si>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</si>
  <si>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</si>
  <si>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</si>
  <si>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</si>
  <si>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</si>
  <si>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</si>
  <si>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</si>
  <si>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</si>
  <si>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</si>
  <si>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</si>
  <si>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</si>
  <si>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</si>
  <si>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</si>
  <si>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</si>
  <si>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</si>
  <si>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</si>
  <si>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</si>
  <si>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</si>
  <si>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</si>
  <si>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</si>
  <si>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</si>
  <si>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</si>
  <si>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</si>
  <si>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</si>
  <si>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</si>
  <si>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</si>
  <si>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</si>
  <si>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</si>
  <si>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</si>
  <si>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</si>
  <si>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</si>
  <si>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</si>
  <si>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</si>
  <si>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</si>
  <si>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</si>
  <si>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</si>
  <si>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</si>
  <si>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</si>
  <si>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</si>
  <si>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</si>
  <si>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</si>
  <si>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</si>
  <si>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</si>
  <si>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</si>
  <si>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</si>
  <si>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</si>
  <si>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</si>
  <si>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</si>
  <si>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</si>
  <si>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</si>
  <si>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</si>
  <si>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</si>
  <si>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</si>
  <si>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</si>
  <si>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</si>
  <si>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</si>
  <si>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</si>
  <si>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</si>
  <si>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</si>
  <si>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</si>
  <si>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</si>
  <si>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</si>
  <si>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</si>
  <si>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</si>
  <si>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</si>
  <si>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</si>
  <si>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</si>
  <si>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</si>
  <si>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</si>
  <si>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</si>
  <si>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</si>
  <si>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</si>
  <si>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</si>
  <si>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</si>
  <si>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</si>
  <si>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</si>
  <si>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</si>
  <si>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</si>
  <si>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</si>
  <si>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</si>
  <si>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</si>
  <si>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</si>
  <si>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</si>
  <si>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</si>
  <si>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</si>
  <si>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</si>
  <si>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</si>
  <si>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</si>
  <si>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</si>
  <si>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</si>
  <si>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</si>
  <si>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</si>
  <si>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</si>
  <si>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</si>
  <si>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</si>
  <si>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</si>
  <si>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</si>
  <si>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</si>
  <si>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</si>
  <si>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</si>
  <si>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</si>
  <si>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</si>
  <si>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</si>
  <si>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</si>
  <si>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</si>
  <si>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</si>
  <si>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</si>
  <si>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</si>
  <si>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</si>
  <si>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</si>
  <si>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</si>
  <si>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</si>
  <si>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</si>
  <si>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</si>
  <si>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</si>
  <si>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</si>
  <si>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</si>
  <si>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</si>
  <si>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</si>
  <si>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</si>
  <si>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</si>
  <si>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</si>
  <si>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</si>
  <si>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</si>
  <si>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</si>
  <si>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</si>
  <si>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</si>
  <si>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</si>
  <si>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</si>
  <si>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</si>
  <si>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</si>
  <si>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</si>
  <si>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</si>
  <si>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</si>
  <si>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</si>
  <si>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</si>
  <si>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</si>
  <si>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</si>
  <si>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</si>
  <si>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</si>
  <si>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</si>
  <si>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</si>
  <si>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</si>
  <si>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</si>
  <si>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</si>
  <si>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</si>
  <si>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</si>
  <si>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</si>
  <si>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</si>
  <si>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</si>
  <si>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</si>
  <si>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</si>
  <si>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</si>
  <si>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</si>
  <si>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</si>
  <si>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</si>
  <si>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</si>
  <si>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</si>
  <si>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</si>
  <si>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</si>
  <si>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</si>
  <si>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</si>
  <si>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</si>
  <si>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</si>
  <si>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</si>
  <si>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</si>
  <si>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</si>
  <si>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</si>
  <si>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</si>
  <si>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</si>
  <si>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</si>
  <si>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</si>
  <si>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</si>
  <si>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</si>
  <si>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</si>
  <si>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</si>
  <si>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</si>
  <si>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</si>
  <si>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</si>
  <si>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</si>
  <si>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</si>
  <si>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</si>
  <si>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</si>
  <si>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</si>
  <si>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</si>
  <si>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</si>
  <si>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</si>
  <si>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</si>
  <si>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</si>
  <si>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</si>
  <si>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</si>
  <si>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</si>
  <si>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</si>
  <si>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</si>
  <si>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</si>
  <si>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</si>
  <si>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</si>
  <si>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</si>
  <si>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</si>
  <si>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</si>
  <si>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</si>
  <si>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</si>
  <si>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</si>
  <si>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</si>
  <si>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</si>
  <si>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</si>
  <si>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</si>
  <si>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</si>
  <si>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</si>
  <si>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</si>
  <si>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</si>
  <si>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</si>
  <si>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</si>
  <si>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</si>
  <si>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</si>
  <si>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</si>
  <si>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</si>
  <si>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</si>
  <si>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</si>
  <si>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</si>
  <si>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</si>
  <si>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</si>
  <si>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</si>
  <si>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</si>
  <si>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</si>
  <si>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</si>
  <si>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</si>
  <si>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</si>
  <si>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</si>
  <si>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</si>
  <si>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</si>
  <si>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</si>
  <si>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</si>
  <si>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</si>
  <si>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</si>
  <si>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</si>
  <si>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</si>
  <si>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</si>
  <si>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</si>
  <si>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</si>
  <si>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</si>
  <si>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</si>
  <si>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</si>
  <si>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</si>
  <si>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</si>
  <si>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</si>
  <si>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</si>
  <si>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</si>
  <si>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</si>
  <si>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</si>
  <si>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</si>
  <si>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</si>
  <si>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</si>
  <si>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</si>
  <si>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</si>
  <si>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</si>
  <si>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</si>
  <si>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</si>
  <si>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</si>
  <si>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</si>
  <si>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</si>
  <si>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</si>
  <si>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</si>
  <si>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</si>
  <si>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</si>
  <si>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</si>
  <si>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</si>
  <si>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</si>
  <si>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</si>
  <si>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</si>
  <si>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</si>
  <si>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</si>
  <si>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</si>
  <si>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</si>
  <si>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</si>
  <si>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</si>
  <si>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</si>
  <si>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</si>
  <si>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</si>
  <si>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</si>
  <si>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</si>
  <si>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</si>
  <si>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</si>
  <si>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</si>
  <si>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</si>
  <si>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</si>
  <si>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</si>
  <si>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</si>
  <si>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</si>
  <si>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</si>
  <si>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</si>
  <si>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</si>
  <si>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</si>
  <si>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</si>
  <si>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</si>
  <si>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</si>
  <si>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</si>
  <si>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</si>
  <si>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</si>
  <si>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</si>
  <si>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</si>
  <si>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</si>
  <si>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</si>
  <si>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</si>
  <si>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</si>
  <si>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</si>
  <si>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</si>
  <si>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</si>
  <si>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</si>
  <si>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</si>
  <si>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</si>
  <si>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</si>
  <si>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</si>
  <si>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</si>
  <si>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</si>
  <si>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</si>
  <si>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</si>
  <si>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</si>
  <si>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</si>
  <si>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</si>
  <si>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</si>
  <si>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</si>
  <si>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</si>
  <si>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</si>
  <si>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</si>
  <si>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</si>
  <si>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</si>
  <si>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</si>
  <si>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</si>
  <si>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</si>
  <si>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</si>
  <si>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</si>
  <si>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</si>
  <si>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</si>
  <si>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</si>
  <si>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</si>
  <si>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</si>
  <si>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</si>
  <si>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</si>
  <si>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</si>
  <si>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</si>
  <si>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</si>
  <si>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</si>
  <si>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</si>
  <si>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</si>
  <si>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</si>
  <si>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</si>
  <si>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</si>
  <si>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</si>
  <si>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</si>
  <si>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</si>
  <si>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</si>
  <si>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</si>
  <si>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</si>
  <si>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</si>
  <si>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</si>
  <si>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</si>
  <si>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</si>
  <si>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</si>
  <si>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</si>
  <si>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</si>
  <si>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</si>
  <si>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</si>
  <si>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</si>
  <si>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</si>
  <si>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</si>
  <si>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</si>
  <si>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</si>
  <si>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</si>
  <si>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</si>
  <si>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</si>
  <si>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</si>
  <si>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</si>
  <si>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</si>
  <si>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</si>
  <si>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</si>
  <si>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</si>
  <si>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</si>
  <si>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</si>
  <si>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</si>
  <si>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</si>
  <si>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</si>
  <si>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</si>
  <si>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</si>
  <si>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</si>
  <si>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</si>
  <si>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</si>
  <si>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</si>
  <si>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</si>
  <si>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</si>
  <si>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</si>
  <si>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</si>
  <si>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</si>
  <si>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</si>
  <si>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</si>
  <si>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</si>
  <si>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</si>
  <si>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</si>
  <si>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</si>
  <si>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</si>
  <si>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</si>
  <si>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</si>
  <si>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</si>
  <si>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</si>
  <si>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</si>
  <si>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</si>
  <si>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</si>
  <si>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</si>
  <si>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</si>
  <si>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</si>
  <si>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</si>
  <si>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</si>
  <si>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</si>
  <si>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</si>
  <si>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</si>
  <si>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</si>
  <si>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</si>
  <si>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</si>
  <si>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</si>
  <si>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</si>
  <si>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</si>
  <si>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</si>
  <si>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</si>
  <si>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</si>
  <si>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</si>
  <si>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</si>
  <si>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</si>
  <si>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</si>
  <si>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</si>
  <si>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</si>
  <si>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</si>
  <si>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</si>
  <si>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</si>
  <si>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</si>
  <si>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</si>
  <si>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</si>
  <si>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</si>
  <si>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</si>
  <si>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</si>
  <si>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</si>
  <si>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</si>
  <si>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</si>
  <si>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</si>
  <si>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</si>
  <si>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</si>
  <si>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</si>
  <si>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</si>
  <si>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</si>
  <si>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</si>
  <si>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</si>
  <si>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</si>
  <si>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</si>
  <si>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</si>
  <si>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</si>
  <si>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</si>
  <si>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</si>
  <si>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</si>
  <si>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</si>
  <si>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</si>
  <si>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</si>
  <si>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</si>
  <si>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</si>
  <si>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</si>
  <si>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</si>
  <si>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</si>
  <si>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</si>
  <si>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</si>
  <si>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</si>
  <si>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</si>
  <si>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</si>
  <si>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</si>
  <si>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</si>
  <si>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</si>
  <si>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</si>
  <si>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</si>
  <si>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</si>
  <si>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</si>
  <si>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</si>
  <si>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</si>
  <si>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</si>
  <si>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</si>
  <si>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</si>
  <si>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</si>
  <si>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</si>
  <si>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</si>
  <si>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</si>
  <si>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</si>
  <si>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</si>
  <si>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</si>
  <si>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</si>
  <si>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</si>
  <si>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</si>
  <si>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</si>
  <si>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</si>
  <si>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</si>
  <si>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</si>
  <si>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</si>
  <si>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</si>
  <si>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</si>
  <si>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</si>
  <si>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</si>
  <si>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</si>
  <si>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</si>
  <si>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</si>
  <si>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</si>
  <si>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</si>
  <si>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</si>
  <si>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</si>
  <si>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</si>
  <si>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</si>
  <si>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</si>
  <si>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</si>
  <si>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</si>
  <si>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</si>
  <si>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</si>
  <si>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</si>
  <si>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</si>
  <si>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</si>
  <si>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</si>
  <si>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</si>
  <si>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</si>
  <si>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</si>
  <si>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</si>
  <si>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</si>
  <si>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</si>
  <si>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</si>
  <si>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</si>
  <si>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</si>
  <si>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</si>
  <si>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</si>
  <si>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</si>
  <si>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</si>
  <si>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</si>
  <si>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</si>
  <si>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</si>
  <si>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</si>
  <si>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</si>
  <si>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</si>
  <si>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</si>
  <si>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</si>
  <si>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</si>
  <si>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</si>
  <si>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</si>
  <si>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</si>
  <si>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</si>
  <si>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</si>
  <si>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</si>
  <si>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</si>
  <si>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</si>
  <si>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</si>
  <si>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</si>
  <si>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</si>
  <si>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</si>
  <si>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</si>
  <si>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</si>
  <si>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</si>
  <si>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</si>
  <si>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</si>
  <si>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</si>
  <si>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</si>
  <si>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</si>
  <si>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</si>
  <si>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</si>
  <si>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</si>
  <si>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</si>
  <si>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</si>
  <si>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</si>
  <si>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</si>
  <si>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</si>
  <si>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</si>
  <si>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</si>
  <si>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</si>
  <si>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</si>
  <si>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</si>
  <si>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</si>
  <si>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</si>
  <si>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</si>
  <si>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</si>
  <si>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</si>
  <si>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</si>
  <si>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</si>
  <si>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</si>
  <si>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</si>
  <si>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</si>
  <si>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</si>
  <si>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</si>
  <si>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</si>
  <si>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</si>
  <si>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</si>
  <si>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</si>
  <si>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</si>
  <si>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</si>
  <si>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</si>
  <si>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</si>
  <si>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</si>
  <si>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</si>
  <si>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</si>
  <si>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</si>
  <si>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</si>
  <si>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</si>
  <si>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</si>
  <si>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</si>
  <si>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</si>
  <si>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</si>
  <si>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</si>
  <si>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</si>
  <si>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</si>
  <si>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</si>
  <si>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</si>
  <si>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</si>
  <si>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</si>
  <si>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</si>
  <si>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</si>
  <si>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</si>
  <si>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</si>
  <si>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</si>
  <si>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</si>
  <si>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</si>
  <si>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</si>
  <si>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</si>
  <si>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</si>
  <si>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</si>
  <si>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</si>
  <si>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</si>
  <si>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</si>
  <si>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</si>
  <si>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</si>
  <si>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</si>
  <si>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</si>
  <si>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</si>
  <si>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</si>
  <si>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</si>
  <si>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</si>
  <si>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</si>
  <si>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</si>
  <si>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</si>
  <si>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</si>
  <si>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</si>
  <si>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</si>
  <si>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</si>
  <si>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</si>
  <si>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</si>
  <si>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</si>
  <si>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</si>
  <si>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</si>
  <si>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</si>
  <si>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</si>
  <si>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</si>
  <si>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</si>
  <si>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</si>
  <si>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</si>
  <si>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</si>
  <si>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</si>
  <si>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</si>
  <si>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</si>
  <si>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</si>
  <si>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</si>
  <si>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</si>
  <si>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</si>
  <si>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</si>
  <si>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</si>
  <si>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</si>
  <si>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</si>
  <si>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</si>
  <si>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</si>
  <si>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</si>
  <si>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</si>
  <si>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</si>
  <si>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</si>
  <si>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</si>
  <si>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</si>
  <si>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</si>
  <si>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</si>
  <si>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</si>
  <si>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</si>
  <si>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</si>
  <si>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</si>
  <si>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</si>
  <si>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</si>
  <si>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</si>
  <si>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</si>
  <si>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</si>
  <si>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</si>
  <si>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</si>
  <si>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</si>
  <si>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</si>
  <si>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</si>
  <si>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</si>
  <si>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</si>
  <si>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</si>
  <si>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</si>
  <si>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</si>
  <si>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</si>
  <si>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</si>
  <si>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</si>
  <si>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</si>
  <si>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</si>
  <si>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</si>
  <si>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</si>
  <si>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</si>
  <si>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</si>
  <si>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</si>
  <si>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</si>
  <si>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</si>
  <si>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</si>
  <si>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</si>
  <si>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</si>
  <si>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</si>
  <si>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</si>
  <si>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</si>
  <si>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</si>
  <si>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</si>
  <si>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</si>
  <si>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</si>
  <si>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</si>
  <si>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</si>
  <si>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</si>
  <si>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</si>
  <si>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</si>
  <si>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</si>
  <si>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</si>
  <si>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</si>
  <si>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</si>
  <si>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</si>
  <si>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</si>
  <si>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</si>
  <si>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</si>
  <si>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</si>
  <si>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</si>
  <si>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</si>
  <si>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</si>
  <si>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</si>
  <si>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</si>
  <si>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</si>
  <si>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</si>
  <si>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</si>
  <si>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</si>
  <si>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</si>
  <si>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</si>
  <si>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</si>
  <si>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</si>
  <si>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</si>
  <si>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</si>
  <si>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</si>
  <si>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</si>
  <si>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</si>
  <si>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</si>
  <si>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</si>
  <si>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</si>
  <si>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</si>
  <si>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</si>
  <si>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</si>
  <si>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</si>
  <si>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</si>
  <si>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</si>
  <si>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</si>
  <si>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</si>
  <si>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</si>
  <si>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</si>
  <si>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</si>
  <si>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</si>
  <si>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</si>
  <si>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</si>
  <si>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</si>
  <si>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</si>
  <si>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</si>
  <si>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</si>
  <si>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</si>
  <si>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</si>
  <si>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</si>
  <si>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</si>
  <si>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</si>
  <si>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</si>
  <si>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</si>
  <si>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</si>
  <si>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</si>
  <si>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</si>
  <si>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</si>
  <si>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</si>
  <si>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</si>
  <si>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</si>
  <si>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</si>
  <si>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</si>
  <si>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</si>
  <si>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</si>
  <si>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</si>
  <si>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</si>
  <si>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</si>
  <si>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</si>
  <si>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</si>
  <si>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</si>
  <si>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</si>
  <si>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</si>
  <si>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</si>
  <si>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</si>
  <si>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</si>
  <si>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</si>
  <si>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</si>
  <si>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</si>
  <si>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</si>
  <si>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</si>
  <si>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</si>
  <si>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</si>
  <si>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</si>
  <si>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</si>
  <si>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</si>
  <si>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</si>
  <si>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</si>
  <si>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</si>
  <si>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</si>
  <si>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</si>
  <si>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</si>
  <si>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</si>
  <si>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</si>
  <si>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</si>
  <si>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</si>
  <si>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</si>
  <si>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</si>
  <si>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</si>
  <si>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</si>
  <si>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</si>
  <si>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</si>
  <si>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</si>
  <si>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</si>
  <si>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</si>
  <si>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</si>
  <si>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</si>
  <si>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</si>
  <si>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</si>
  <si>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</si>
  <si>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</si>
  <si>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</si>
  <si>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</si>
  <si>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</si>
  <si>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</si>
  <si>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</si>
  <si>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</si>
  <si>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</si>
  <si>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</si>
  <si>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</si>
  <si>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</si>
  <si>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</si>
  <si>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</si>
  <si>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</si>
  <si>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</si>
  <si>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</si>
  <si>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</si>
  <si>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</si>
  <si>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</si>
  <si>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</si>
  <si>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</si>
  <si>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</si>
  <si>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</si>
  <si>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</si>
  <si>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</si>
  <si>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</si>
  <si>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</si>
  <si>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</si>
  <si>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</si>
  <si>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</si>
  <si>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</si>
  <si>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</si>
  <si>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</si>
  <si>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</si>
  <si>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</si>
  <si>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</si>
  <si>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</si>
  <si>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</si>
  <si>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</si>
  <si>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</si>
  <si>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</si>
  <si>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</si>
  <si>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</si>
  <si>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</si>
  <si>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</si>
  <si>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</si>
  <si>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</si>
  <si>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</si>
  <si>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</si>
  <si>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</si>
  <si>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</si>
  <si>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</si>
  <si>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</si>
  <si>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</si>
  <si>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</si>
  <si>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</si>
  <si>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</si>
  <si>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</si>
  <si>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</si>
  <si>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</si>
  <si>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</si>
  <si>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</si>
  <si>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</si>
  <si>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</si>
  <si>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</si>
  <si>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</si>
  <si>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</si>
  <si>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</si>
  <si>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</si>
  <si>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</si>
  <si>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</si>
  <si>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</si>
  <si>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</si>
  <si>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</si>
  <si>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</si>
  <si>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</si>
  <si>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</si>
  <si>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</si>
  <si>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</si>
  <si>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</si>
  <si>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</si>
  <si>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</si>
  <si>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</si>
  <si>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</si>
  <si>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</si>
  <si>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</si>
  <si>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</si>
  <si>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</si>
  <si>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</si>
  <si>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</si>
  <si>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</si>
  <si>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</si>
  <si>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</si>
  <si>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</si>
  <si>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</si>
  <si>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</si>
  <si>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</si>
  <si>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</si>
  <si>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</si>
  <si>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</si>
  <si>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</si>
  <si>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</si>
  <si>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</si>
  <si>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</si>
  <si>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</si>
  <si>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</si>
  <si>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</si>
  <si>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</si>
  <si>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</si>
  <si>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</si>
  <si>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</si>
  <si>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</si>
  <si>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</si>
  <si>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</si>
  <si>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</si>
  <si>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</si>
  <si>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</si>
  <si>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</si>
  <si>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</si>
  <si>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</si>
  <si>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</si>
  <si>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</si>
  <si>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</si>
  <si>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</si>
  <si>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</si>
  <si>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</si>
  <si>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</si>
  <si>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</si>
  <si>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</si>
  <si>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</si>
  <si>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</si>
  <si>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</si>
  <si>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</si>
  <si>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</si>
  <si>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</si>
  <si>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</si>
  <si>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</si>
  <si>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</si>
  <si>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</si>
  <si>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</si>
  <si>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</si>
  <si>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</si>
  <si>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</si>
  <si>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</si>
  <si>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</si>
  <si>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</si>
  <si>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</si>
  <si>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</si>
  <si>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</si>
  <si>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</si>
  <si>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</si>
  <si>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</si>
  <si>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</si>
  <si>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</si>
  <si>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</si>
  <si>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</si>
  <si>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</si>
  <si>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</si>
  <si>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</si>
  <si>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</si>
  <si>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</si>
  <si>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</si>
  <si>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</si>
  <si>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</si>
  <si>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</si>
  <si>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</si>
  <si>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</si>
  <si>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</si>
  <si>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</si>
  <si>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</si>
  <si>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</si>
  <si>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</si>
  <si>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</si>
  <si>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</si>
  <si>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</si>
  <si>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</si>
  <si>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</si>
  <si>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</si>
  <si>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</si>
  <si>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</si>
  <si>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</si>
  <si>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</si>
  <si>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</si>
  <si>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</si>
  <si>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</si>
  <si>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</si>
  <si>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</si>
  <si>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</si>
  <si>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</si>
  <si>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</si>
  <si>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</si>
  <si>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</si>
  <si>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</si>
  <si>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</si>
  <si>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</si>
  <si>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</si>
  <si>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</si>
  <si>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</si>
  <si>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</si>
  <si>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</si>
  <si>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</si>
  <si>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</si>
  <si>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</si>
  <si>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</si>
  <si>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</si>
  <si>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</si>
  <si>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</si>
  <si>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</si>
  <si>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</si>
  <si>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</si>
  <si>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</si>
  <si>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</si>
  <si>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</si>
  <si>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</si>
  <si>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</si>
  <si>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</si>
  <si>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</si>
  <si>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</si>
  <si>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</si>
  <si>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</si>
  <si>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</si>
  <si>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</si>
  <si>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</si>
  <si>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</si>
  <si>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</si>
  <si>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</si>
  <si>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</si>
  <si>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</si>
  <si>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</si>
  <si>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</si>
  <si>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</si>
  <si>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</si>
  <si>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</si>
  <si>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</si>
  <si>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</si>
  <si>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</si>
  <si>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</si>
  <si>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</si>
  <si>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</si>
  <si>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</si>
  <si>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</si>
  <si>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</si>
  <si>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</si>
  <si>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</si>
  <si>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</si>
  <si>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</si>
  <si>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</si>
  <si>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</si>
  <si>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</si>
  <si>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</si>
  <si>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</si>
  <si>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</si>
  <si>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</si>
  <si>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</si>
  <si>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</si>
  <si>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</si>
  <si>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</si>
  <si>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</si>
  <si>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</si>
  <si>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</si>
  <si>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</si>
  <si>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</si>
  <si>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</si>
  <si>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</si>
  <si>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</si>
  <si>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</si>
  <si>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</si>
  <si>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</si>
  <si>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</si>
  <si>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</si>
  <si>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</si>
  <si>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</si>
  <si>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</si>
  <si>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</si>
  <si>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</si>
  <si>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</si>
  <si>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</si>
  <si>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</si>
  <si>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</si>
  <si>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</si>
  <si>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</si>
  <si>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</si>
  <si>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</si>
  <si>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</si>
  <si>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</si>
  <si>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</si>
  <si>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</si>
  <si>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</si>
  <si>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</si>
  <si>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</si>
  <si>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</si>
  <si>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</si>
  <si>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</si>
  <si>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</si>
  <si>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</si>
  <si>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</si>
  <si>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</si>
  <si>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</si>
  <si>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</si>
  <si>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</si>
  <si>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</si>
  <si>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</si>
  <si>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</si>
  <si>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</si>
  <si>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</si>
  <si>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</si>
  <si>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</si>
  <si>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</si>
  <si>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</si>
  <si>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</si>
  <si>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</si>
  <si>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</si>
  <si>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</si>
  <si>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</si>
  <si>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</si>
  <si>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</si>
  <si>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</si>
  <si>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</si>
  <si>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</si>
  <si>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</si>
  <si>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</si>
  <si>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</si>
  <si>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</si>
  <si>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</si>
  <si>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</si>
  <si>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</si>
  <si>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</si>
  <si>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</si>
  <si>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</si>
  <si>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</si>
  <si>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</si>
  <si>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</si>
  <si>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</si>
  <si>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</si>
  <si>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</si>
  <si>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</si>
  <si>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</si>
  <si>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</si>
  <si>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</si>
  <si>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</si>
  <si>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</si>
  <si>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</si>
  <si>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</si>
  <si>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</si>
  <si>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</si>
  <si>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</si>
  <si>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</si>
  <si>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</si>
  <si>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</si>
  <si>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</si>
  <si>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</si>
  <si>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</si>
  <si>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</si>
  <si>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</si>
  <si>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</si>
  <si>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</si>
  <si>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</si>
  <si>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</si>
  <si>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</si>
  <si>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</si>
  <si>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</si>
  <si>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</si>
  <si>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</si>
  <si>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</si>
  <si>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</si>
  <si>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</si>
  <si>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</si>
  <si>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</si>
  <si>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</si>
  <si>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</si>
  <si>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</si>
  <si>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</si>
  <si>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</si>
  <si>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</si>
  <si>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</si>
  <si>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</si>
  <si>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</si>
  <si>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</si>
  <si>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</si>
  <si>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</si>
  <si>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</si>
  <si>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</si>
  <si>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</si>
  <si>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</si>
  <si>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</si>
  <si>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</si>
  <si>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</si>
  <si>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</si>
  <si>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</si>
  <si>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</si>
  <si>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</si>
  <si>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</si>
  <si>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</si>
  <si>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</si>
  <si>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</si>
  <si>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</si>
  <si>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</si>
  <si>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</si>
  <si>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</si>
  <si>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</si>
  <si>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</si>
  <si>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</si>
  <si>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</si>
  <si>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</si>
  <si>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</si>
  <si>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</si>
  <si>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</si>
  <si>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</si>
  <si>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</si>
  <si>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</si>
  <si>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</si>
  <si>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</si>
  <si>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</si>
  <si>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</si>
  <si>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</si>
  <si>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</si>
  <si>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</si>
  <si>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</si>
  <si>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</si>
  <si>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</si>
  <si>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</si>
  <si>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</si>
  <si>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</si>
  <si>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</si>
  <si>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</si>
  <si>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</si>
  <si>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</si>
  <si>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</si>
  <si>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</si>
  <si>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</si>
  <si>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</si>
  <si>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</si>
  <si>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</si>
  <si>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</si>
  <si>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</si>
  <si>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</si>
  <si>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</si>
  <si>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</si>
  <si>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</si>
  <si>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</si>
  <si>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</si>
  <si>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</si>
  <si>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</si>
  <si>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</si>
  <si>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</si>
  <si>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</si>
  <si>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</si>
  <si>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</si>
  <si>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</si>
  <si>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</si>
  <si>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</si>
  <si>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</si>
  <si>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</si>
  <si>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</si>
  <si>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</si>
  <si>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</si>
  <si>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</si>
  <si>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</si>
  <si>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</si>
  <si>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</si>
  <si>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</si>
  <si>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</si>
  <si>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</si>
  <si>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</si>
  <si>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</si>
  <si>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</si>
  <si>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</si>
  <si>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</si>
  <si>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</si>
  <si>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</si>
  <si>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</si>
  <si>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</si>
  <si>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</si>
  <si>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</si>
  <si>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</si>
  <si>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</si>
  <si>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</si>
  <si>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</si>
  <si>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</si>
  <si>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</si>
  <si>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</si>
  <si>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</si>
  <si>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</si>
  <si>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</si>
  <si>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</si>
  <si>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</si>
  <si>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</si>
  <si>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</si>
  <si>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</si>
  <si>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</si>
  <si>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</si>
  <si>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</si>
  <si>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</si>
  <si>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</si>
  <si>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</si>
  <si>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</si>
  <si>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</si>
  <si>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</si>
  <si>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</si>
  <si>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</si>
  <si>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</si>
  <si>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</si>
  <si>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</si>
  <si>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</si>
  <si>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</si>
  <si>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</si>
  <si>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</si>
  <si>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</si>
  <si>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</si>
  <si>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</si>
  <si>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</si>
  <si>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</si>
  <si>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</si>
  <si>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</si>
  <si>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</si>
  <si>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</si>
  <si>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</si>
  <si>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</si>
  <si>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</si>
  <si>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</si>
  <si>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</si>
  <si>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</si>
  <si>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</si>
  <si>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</si>
  <si>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</si>
  <si>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</si>
  <si>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</si>
  <si>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</si>
  <si>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</si>
  <si>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</si>
  <si>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</si>
  <si>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</si>
  <si>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</si>
  <si>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</si>
  <si>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</si>
  <si>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</si>
  <si>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</si>
  <si>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</si>
  <si>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</si>
  <si>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</si>
  <si>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</si>
  <si>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</si>
  <si>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</si>
  <si>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</si>
  <si>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</si>
  <si>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</si>
  <si>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</si>
  <si>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</si>
  <si>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</si>
  <si>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</si>
  <si>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</si>
  <si>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</si>
  <si>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</si>
  <si>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</si>
  <si>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</si>
  <si>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</si>
  <si>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</si>
  <si>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</si>
  <si>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</si>
  <si>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</si>
  <si>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</si>
  <si>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</si>
  <si>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</si>
  <si>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</si>
  <si>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</si>
  <si>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</si>
  <si>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</si>
  <si>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</si>
  <si>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</si>
  <si>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</si>
  <si>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</si>
  <si>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</si>
  <si>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</si>
  <si>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</si>
  <si>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</si>
  <si>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</si>
  <si>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</si>
  <si>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</si>
  <si>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</si>
  <si>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</si>
  <si>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</si>
  <si>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</si>
  <si>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</si>
  <si>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</si>
  <si>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</si>
  <si>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</si>
  <si>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</si>
  <si>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</si>
  <si>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</si>
  <si>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</si>
  <si>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</si>
  <si>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</si>
  <si>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</si>
  <si>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</si>
  <si>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</si>
  <si>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</si>
  <si>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</si>
  <si>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</si>
  <si>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</si>
  <si>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</si>
  <si>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</si>
  <si>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</si>
  <si>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</si>
  <si>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</si>
  <si>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</si>
  <si>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</si>
  <si>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</si>
  <si>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</si>
  <si>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</si>
  <si>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</si>
  <si>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</si>
  <si>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</si>
  <si>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</si>
  <si>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</si>
  <si>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</si>
  <si>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</si>
  <si>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</si>
  <si>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</si>
  <si>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</si>
  <si>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</si>
  <si>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</si>
  <si>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</si>
  <si>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</si>
  <si>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</si>
  <si>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</si>
  <si>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</si>
  <si>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</si>
  <si>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</si>
  <si>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</si>
  <si>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</si>
  <si>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</si>
  <si>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</si>
  <si>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</si>
  <si>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</si>
  <si>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</si>
  <si>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</si>
  <si>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</si>
  <si>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</si>
  <si>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</si>
  <si>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</si>
  <si>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</si>
  <si>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</si>
  <si>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</si>
  <si>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</si>
  <si>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</si>
  <si>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</si>
  <si>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</si>
  <si>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</si>
  <si>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</si>
  <si>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</si>
  <si>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</si>
  <si>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</si>
  <si>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</si>
  <si>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</si>
  <si>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</si>
  <si>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</si>
  <si>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</si>
  <si>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</si>
  <si>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</si>
  <si>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</si>
  <si>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</si>
  <si>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</si>
  <si>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</si>
  <si>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</si>
  <si>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</si>
  <si>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</si>
  <si>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</si>
  <si>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</si>
  <si>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</si>
  <si>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</si>
  <si>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</si>
  <si>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</si>
  <si>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</si>
  <si>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</si>
  <si>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</si>
  <si>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</si>
  <si>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</si>
  <si>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</si>
  <si>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</si>
  <si>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</si>
  <si>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</si>
  <si>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</si>
  <si>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</si>
  <si>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</si>
  <si>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</si>
  <si>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</si>
  <si>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</si>
  <si>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</si>
  <si>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</si>
  <si>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</si>
  <si>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</si>
  <si>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</si>
  <si>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</si>
  <si>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</si>
  <si>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</si>
  <si>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</si>
  <si>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</si>
  <si>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</si>
  <si>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</si>
  <si>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</si>
  <si>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</si>
  <si>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</si>
  <si>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</si>
  <si>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</si>
  <si>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</si>
  <si>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</si>
  <si>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</si>
  <si>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</si>
  <si>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</si>
  <si>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</si>
  <si>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</si>
  <si>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</si>
  <si>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</si>
  <si>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</si>
  <si>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</si>
  <si>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</si>
  <si>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</si>
  <si>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</si>
  <si>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</si>
  <si>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</si>
  <si>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</si>
  <si>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</si>
  <si>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</si>
  <si>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</si>
  <si>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</si>
  <si>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</si>
  <si>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</si>
  <si>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</si>
  <si>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</si>
  <si>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</si>
  <si>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</si>
  <si>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</si>
  <si>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</si>
  <si>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</si>
  <si>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</si>
  <si>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</si>
  <si>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</si>
  <si>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</si>
  <si>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</si>
  <si>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</si>
  <si>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</si>
  <si>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</si>
  <si>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</si>
  <si>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</si>
  <si>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</si>
  <si>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</si>
  <si>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</si>
  <si>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</si>
  <si>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</si>
  <si>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</si>
  <si>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</si>
  <si>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</si>
  <si>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</si>
  <si>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</si>
  <si>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</si>
  <si>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</si>
  <si>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</si>
  <si>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</si>
  <si>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</si>
  <si>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</si>
  <si>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</si>
  <si>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</si>
  <si>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</si>
  <si>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</si>
  <si>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</si>
  <si>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</si>
  <si>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</si>
  <si>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</si>
  <si>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</si>
  <si>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</si>
  <si>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</si>
  <si>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</si>
  <si>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</si>
  <si>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</si>
  <si>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</si>
  <si>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</si>
  <si>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</si>
  <si>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</si>
  <si>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</si>
  <si>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</si>
  <si>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</si>
  <si>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</si>
  <si>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</si>
  <si>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</si>
  <si>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</si>
  <si>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</si>
  <si>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</si>
  <si>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</si>
  <si>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</si>
  <si>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</si>
  <si>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</si>
  <si>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</si>
  <si>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</si>
  <si>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</si>
  <si>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</si>
  <si>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</si>
  <si>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</si>
  <si>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</si>
  <si>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</si>
  <si>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</si>
  <si>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</si>
  <si>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</si>
  <si>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</si>
  <si>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</si>
  <si>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</si>
  <si>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</si>
  <si>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</si>
  <si>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</si>
  <si>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</si>
  <si>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</si>
  <si>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</si>
  <si>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</si>
  <si>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</si>
  <si>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</si>
  <si>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</si>
  <si>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</si>
  <si>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</si>
  <si>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</si>
  <si>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</si>
  <si>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</si>
  <si>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</si>
  <si>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</si>
  <si>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</si>
  <si>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</si>
  <si>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</si>
  <si>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</si>
  <si>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</si>
  <si>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</si>
  <si>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</si>
  <si>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</si>
  <si>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</si>
  <si>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</si>
  <si>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</si>
  <si>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</si>
  <si>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</si>
  <si>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</si>
  <si>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</si>
  <si>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</si>
  <si>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</si>
  <si>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</si>
  <si>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</si>
  <si>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</si>
  <si>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</si>
  <si>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</si>
  <si>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</si>
  <si>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</si>
  <si>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</si>
  <si>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</si>
  <si>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</si>
  <si>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</si>
  <si>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</si>
  <si>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</si>
  <si>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</si>
  <si>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</si>
  <si>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</si>
  <si>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</si>
  <si>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</si>
  <si>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</si>
  <si>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</si>
  <si>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</si>
  <si>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</si>
  <si>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</si>
  <si>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</si>
  <si>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</si>
  <si>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</si>
  <si>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</si>
  <si>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</si>
  <si>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</si>
  <si>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</si>
  <si>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</si>
  <si>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</si>
  <si>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</si>
  <si>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</si>
  <si>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</si>
  <si>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</si>
  <si>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</si>
  <si>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</si>
  <si>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</si>
  <si>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</si>
  <si>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</si>
  <si>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</si>
  <si>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</si>
  <si>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</si>
  <si>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</si>
  <si>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</si>
  <si>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</si>
  <si>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</si>
  <si>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</si>
  <si>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</si>
  <si>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</si>
  <si>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</si>
  <si>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</si>
  <si>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</si>
  <si>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</si>
  <si>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</si>
  <si>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</si>
  <si>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</si>
  <si>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</si>
  <si>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</si>
  <si>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</si>
  <si>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</si>
  <si>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</si>
  <si>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</si>
  <si>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</si>
  <si>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</si>
  <si>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</si>
  <si>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</si>
  <si>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</si>
  <si>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</si>
  <si>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</si>
  <si>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</si>
  <si>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</si>
  <si>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</si>
  <si>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</si>
  <si>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</si>
  <si>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</si>
  <si>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</si>
  <si>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</si>
  <si>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</si>
  <si>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</si>
  <si>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</si>
  <si>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</si>
  <si>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</si>
  <si>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</si>
  <si>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</si>
  <si>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</si>
  <si>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</si>
  <si>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</si>
  <si>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</si>
  <si>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</si>
  <si>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</si>
  <si>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</si>
  <si>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</si>
  <si>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</si>
  <si>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</si>
  <si>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</si>
  <si>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</si>
  <si>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</si>
  <si>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</si>
  <si>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</si>
  <si>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</si>
  <si>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</si>
  <si>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</si>
  <si>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</si>
  <si>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</si>
  <si>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</si>
  <si>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</si>
  <si>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</si>
  <si>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</si>
  <si>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</si>
  <si>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</si>
  <si>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</si>
  <si>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</si>
  <si>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</si>
  <si>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</si>
  <si>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</si>
  <si>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</si>
  <si>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</si>
  <si>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</si>
  <si>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</si>
  <si>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</si>
  <si>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</si>
  <si>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</si>
  <si>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</si>
  <si>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</si>
  <si>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</si>
  <si>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</si>
  <si>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</si>
  <si>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</si>
  <si>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</si>
  <si>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</si>
  <si>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</si>
  <si>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</si>
  <si>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</si>
  <si>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</si>
  <si>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</si>
  <si>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</si>
  <si>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</si>
  <si>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</si>
  <si>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</si>
  <si>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</si>
  <si>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</si>
  <si>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</si>
  <si>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</si>
  <si>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</si>
  <si>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</si>
  <si>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</si>
  <si>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</si>
  <si>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</si>
  <si>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</si>
  <si>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</si>
  <si>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</si>
  <si>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</si>
  <si>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</si>
  <si>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</si>
  <si>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</si>
  <si>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</si>
  <si>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</si>
  <si>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</si>
  <si>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</si>
  <si>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</si>
  <si>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</si>
  <si>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</si>
  <si>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</si>
  <si>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</si>
  <si>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</si>
  <si>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</si>
  <si>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</si>
  <si>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</si>
  <si>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</si>
  <si>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</si>
  <si>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</si>
  <si>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</si>
  <si>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</si>
  <si>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</si>
  <si>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</si>
  <si>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</si>
  <si>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</si>
  <si>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</si>
  <si>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</si>
  <si>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</si>
  <si>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</si>
  <si>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</si>
  <si>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</si>
  <si>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</si>
  <si>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</si>
  <si>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</si>
  <si>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</si>
  <si>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</si>
  <si>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</si>
  <si>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</si>
  <si>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</si>
  <si>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</si>
  <si>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</si>
  <si>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</si>
  <si>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</si>
  <si>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</si>
  <si>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</si>
  <si>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</si>
  <si>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</si>
  <si>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</si>
  <si>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</si>
  <si>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</si>
  <si>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</si>
  <si>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</si>
  <si>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</si>
  <si>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</si>
  <si>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</si>
  <si>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</si>
  <si>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</si>
  <si>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</si>
  <si>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</si>
  <si>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</si>
  <si>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</si>
  <si>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</si>
  <si>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</si>
  <si>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</si>
  <si>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</si>
  <si>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</si>
  <si>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</si>
  <si>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</si>
  <si>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</si>
  <si>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</si>
  <si>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</si>
  <si>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</si>
  <si>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</si>
  <si>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</si>
  <si>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</si>
  <si>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</si>
  <si>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</si>
  <si>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</si>
  <si>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</si>
  <si>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</si>
  <si>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</si>
  <si>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</si>
  <si>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</si>
  <si>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</si>
  <si>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</si>
  <si>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</si>
  <si>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</si>
  <si>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</si>
  <si>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</si>
  <si>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</si>
  <si>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</si>
  <si>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</si>
  <si>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</si>
  <si>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</si>
  <si>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</si>
  <si>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</si>
  <si>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</si>
  <si>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</si>
  <si>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</si>
  <si>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</si>
  <si>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</si>
  <si>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</si>
  <si>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</si>
  <si>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</si>
  <si>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</si>
  <si>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</si>
  <si>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</si>
  <si>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</si>
  <si>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</si>
  <si>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</si>
  <si>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</si>
  <si>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</si>
  <si>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</si>
  <si>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</si>
  <si>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</si>
  <si>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</si>
  <si>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</si>
  <si>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</si>
  <si>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</si>
  <si>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</si>
  <si>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</si>
  <si>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</si>
  <si>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</si>
  <si>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</si>
  <si>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</si>
  <si>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</si>
  <si>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</si>
  <si>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</si>
  <si>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</si>
  <si>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</si>
  <si>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</si>
  <si>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</si>
  <si>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</si>
  <si>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</si>
  <si>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</si>
  <si>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</si>
  <si>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</si>
  <si>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</si>
  <si>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</si>
  <si>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</si>
  <si>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</si>
  <si>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</si>
  <si>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</si>
  <si>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</si>
  <si>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</si>
  <si>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</si>
  <si>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</si>
  <si>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</si>
  <si>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</si>
  <si>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</si>
  <si>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</si>
  <si>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</si>
  <si>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</si>
  <si>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</si>
  <si>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</si>
  <si>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</si>
  <si>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</si>
  <si>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</si>
  <si>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</si>
  <si>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</si>
  <si>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</si>
  <si>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</si>
  <si>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</si>
  <si>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</si>
  <si>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</si>
  <si>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</si>
  <si>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</si>
  <si>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</si>
  <si>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</si>
  <si>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</si>
  <si>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</si>
  <si>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</si>
  <si>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</si>
  <si>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</si>
  <si>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</si>
  <si>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</si>
  <si>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</si>
  <si>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</si>
  <si>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</si>
  <si>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</si>
  <si>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</si>
  <si>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</si>
  <si>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</si>
  <si>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</si>
  <si>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</si>
  <si>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</si>
  <si>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</si>
  <si>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</si>
  <si>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</si>
  <si>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</si>
  <si>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</si>
  <si>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</si>
  <si>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</si>
  <si>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</si>
  <si>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</si>
  <si>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</si>
  <si>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</si>
  <si>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</si>
  <si>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</si>
  <si>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</si>
  <si>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</si>
  <si>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</si>
  <si>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</si>
  <si>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</si>
  <si>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</si>
  <si>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</si>
  <si>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</si>
  <si>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</si>
  <si>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</si>
  <si>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</si>
  <si>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</si>
  <si>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</si>
  <si>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</si>
  <si>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</si>
  <si>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</si>
  <si>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</si>
  <si>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</si>
  <si>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</si>
  <si>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</si>
  <si>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</si>
  <si>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</si>
  <si>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</si>
  <si>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</si>
  <si>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</si>
  <si>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</si>
  <si>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</si>
  <si>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</si>
  <si>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</si>
  <si>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</si>
  <si>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</si>
  <si>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</si>
  <si>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</si>
  <si>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</si>
  <si>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</si>
  <si>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</si>
  <si>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</si>
  <si>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</si>
  <si>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</si>
  <si>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</si>
  <si>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</si>
  <si>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</si>
  <si>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</si>
  <si>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</si>
  <si>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</si>
  <si>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</si>
  <si>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</si>
  <si>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</si>
  <si>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</si>
  <si>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</si>
  <si>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</si>
  <si>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</si>
  <si>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</si>
  <si>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</si>
  <si>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</si>
  <si>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</si>
  <si>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</si>
  <si>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</si>
  <si>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</si>
  <si>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</si>
  <si>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</si>
  <si>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</si>
  <si>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</si>
  <si>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</si>
  <si>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</si>
  <si>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</si>
  <si>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</si>
  <si>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</si>
  <si>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</si>
  <si>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</si>
  <si>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</si>
  <si>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</si>
  <si>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</si>
  <si>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</si>
  <si>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</si>
  <si>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</si>
  <si>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</si>
  <si>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</si>
  <si>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</si>
  <si>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</si>
  <si>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</si>
  <si>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</si>
  <si>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</si>
  <si>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</si>
  <si>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</si>
  <si>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</si>
  <si>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</si>
  <si>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</si>
  <si>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</si>
  <si>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</si>
  <si>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</si>
  <si>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</si>
  <si>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</si>
  <si>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</si>
  <si>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</si>
  <si>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</si>
  <si>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</si>
  <si>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</si>
  <si>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</si>
  <si>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</si>
  <si>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</si>
  <si>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</si>
  <si>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</si>
  <si>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</si>
  <si>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</si>
  <si>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</si>
  <si>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</si>
  <si>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</si>
  <si>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</si>
  <si>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</si>
  <si>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</si>
  <si>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</si>
  <si>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</si>
  <si>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</si>
  <si>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</si>
  <si>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</si>
  <si>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</si>
  <si>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</si>
  <si>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</si>
  <si>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</si>
  <si>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</si>
  <si>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</si>
  <si>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</si>
  <si>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</si>
  <si>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</si>
  <si>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</si>
  <si>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</si>
  <si>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</si>
  <si>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</si>
  <si>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</si>
  <si>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</si>
  <si>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</si>
  <si>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</si>
  <si>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</si>
  <si>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</si>
  <si>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</si>
  <si>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</si>
  <si>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</si>
  <si>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</si>
  <si>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</si>
  <si>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</si>
  <si>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</si>
  <si>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</si>
  <si>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</si>
  <si>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</si>
  <si>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</si>
  <si>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</si>
  <si>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</si>
  <si>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</si>
  <si>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</si>
  <si>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</si>
  <si>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</si>
  <si>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</si>
  <si>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</si>
  <si>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</si>
  <si>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</si>
  <si>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</si>
  <si>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</si>
  <si>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</si>
  <si>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</si>
  <si>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</si>
  <si>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</si>
  <si>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</si>
  <si>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</si>
  <si>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</si>
  <si>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</si>
  <si>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</si>
  <si>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</si>
  <si>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</si>
  <si>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</si>
  <si>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</si>
  <si>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</si>
  <si>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</si>
  <si>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</si>
  <si>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</si>
  <si>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</si>
  <si>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</si>
  <si>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</si>
  <si>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</si>
  <si>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</si>
  <si>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</si>
  <si>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</si>
  <si>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</si>
  <si>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</si>
  <si>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</si>
  <si>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</si>
  <si>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</si>
  <si>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</si>
  <si>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</si>
  <si>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</si>
  <si>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</si>
  <si>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</si>
  <si>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</si>
  <si>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</si>
  <si>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</si>
  <si>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</si>
  <si>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</si>
  <si>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</si>
  <si>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</si>
  <si>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</si>
  <si>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</si>
  <si>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</si>
  <si>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</si>
  <si>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</si>
  <si>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</si>
  <si>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</si>
  <si>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</si>
  <si>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</si>
  <si>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</si>
  <si>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</si>
  <si>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</si>
  <si>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</si>
  <si>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</si>
  <si>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</si>
  <si>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</si>
  <si>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</si>
  <si>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</si>
  <si>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</si>
  <si>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</si>
  <si>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</si>
  <si>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</si>
  <si>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</si>
  <si>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</si>
  <si>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</si>
  <si>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</si>
  <si>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</si>
  <si>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</si>
  <si>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</si>
  <si>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</si>
  <si>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</si>
  <si>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</si>
  <si>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</si>
  <si>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</si>
  <si>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</si>
  <si>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</si>
  <si>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</si>
  <si>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</si>
  <si>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</si>
  <si>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</si>
  <si>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</si>
  <si>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</si>
  <si>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</si>
  <si>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</si>
  <si>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</si>
  <si>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</si>
  <si>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</si>
  <si>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</si>
  <si>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</si>
  <si>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</si>
  <si>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</si>
  <si>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</si>
  <si>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</si>
  <si>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</si>
  <si>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</si>
  <si>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</si>
  <si>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</si>
  <si>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</si>
  <si>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</si>
  <si>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</si>
  <si>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</si>
  <si>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</si>
  <si>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</si>
  <si>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</si>
  <si>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</si>
  <si>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</si>
  <si>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</si>
  <si>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</si>
  <si>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</si>
  <si>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</si>
  <si>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</si>
  <si>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</si>
  <si>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</si>
  <si>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</si>
  <si>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</si>
  <si>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</si>
  <si>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</si>
  <si>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</si>
  <si>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</si>
  <si>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</si>
  <si>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</si>
  <si>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</si>
  <si>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</si>
  <si>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</si>
  <si>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</si>
  <si>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</si>
  <si>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</si>
  <si>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</si>
  <si>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</si>
  <si>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</si>
  <si>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</si>
  <si>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</si>
  <si>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</si>
  <si>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</si>
  <si>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</si>
  <si>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</si>
  <si>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</si>
  <si>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</si>
  <si>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</si>
  <si>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</si>
  <si>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</si>
  <si>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</si>
  <si>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</si>
  <si>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</si>
  <si>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</si>
  <si>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</si>
  <si>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</si>
  <si>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</si>
  <si>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</si>
  <si>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</si>
  <si>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</si>
  <si>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</si>
  <si>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</si>
  <si>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</si>
  <si>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</si>
  <si>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</si>
  <si>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</si>
  <si>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</si>
  <si>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</si>
  <si>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</si>
  <si>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</si>
  <si>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</si>
  <si>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</si>
  <si>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</si>
  <si>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</si>
  <si>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</si>
  <si>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</si>
  <si>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</si>
  <si>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</si>
  <si>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</si>
  <si>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</si>
  <si>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</si>
  <si>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</si>
  <si>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</si>
  <si>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</si>
  <si>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</si>
  <si>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</si>
  <si>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</si>
  <si>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</si>
  <si>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</si>
  <si>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</si>
  <si>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</si>
  <si>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</si>
  <si>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</si>
  <si>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</si>
  <si>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</si>
  <si>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</si>
  <si>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</si>
  <si>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</si>
  <si>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</si>
  <si>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</si>
  <si>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</si>
  <si>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</si>
  <si>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</si>
  <si>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</si>
  <si>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</si>
  <si>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</si>
  <si>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</si>
  <si>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</si>
  <si>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</si>
  <si>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</si>
  <si>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</si>
  <si>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</si>
  <si>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</si>
  <si>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</si>
  <si>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</si>
  <si>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</si>
  <si>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</si>
  <si>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</si>
  <si>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</si>
  <si>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</si>
  <si>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</si>
  <si>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</si>
  <si>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</si>
  <si>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</si>
  <si>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</si>
  <si>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</si>
  <si>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</si>
  <si>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</si>
  <si>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</si>
  <si>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</si>
  <si>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</si>
  <si>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</si>
  <si>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</si>
  <si>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</si>
  <si>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</si>
  <si>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</si>
  <si>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</si>
  <si>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</si>
  <si>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</si>
  <si>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</si>
  <si>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</si>
  <si>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</si>
  <si>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</si>
  <si>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</si>
  <si>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</si>
  <si>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</si>
  <si>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</si>
  <si>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</si>
  <si>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</si>
  <si>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</si>
  <si>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</si>
  <si>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</si>
  <si>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</si>
  <si>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</si>
  <si>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</si>
  <si>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</si>
  <si>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</si>
  <si>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</si>
  <si>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</si>
  <si>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</si>
  <si>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</si>
  <si>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</si>
  <si>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</si>
  <si>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</si>
  <si>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</si>
  <si>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</si>
  <si>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</si>
  <si>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</si>
  <si>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</si>
  <si>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</si>
  <si>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</si>
  <si>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</si>
  <si>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</si>
  <si>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</si>
  <si>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</si>
  <si>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</si>
  <si>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</si>
  <si>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</si>
  <si>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</si>
  <si>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</si>
  <si>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</si>
  <si>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</si>
  <si>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</si>
  <si>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</si>
  <si>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</si>
  <si>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</si>
  <si>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</si>
  <si>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</si>
  <si>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</si>
  <si>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</si>
  <si>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</si>
  <si>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</si>
  <si>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</si>
  <si>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</si>
  <si>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</si>
  <si>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</si>
  <si>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</si>
  <si>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</si>
  <si>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</si>
  <si>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</si>
  <si>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</si>
  <si>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</si>
  <si>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</si>
  <si>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</si>
  <si>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</si>
  <si>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</si>
  <si>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</si>
  <si>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</si>
  <si>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</si>
  <si>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</si>
  <si>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</si>
  <si>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</si>
  <si>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</si>
  <si>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</si>
  <si>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</si>
  <si>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</si>
  <si>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</si>
  <si>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</si>
  <si>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</si>
  <si>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</si>
  <si>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</si>
  <si>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</si>
  <si>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</si>
  <si>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</si>
  <si>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</si>
  <si>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</si>
  <si>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</si>
  <si>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</si>
  <si>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</si>
  <si>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</si>
  <si>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</si>
  <si>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</si>
  <si>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</si>
  <si>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</si>
  <si>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</si>
  <si>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</si>
  <si>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</si>
  <si>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</si>
  <si>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</si>
  <si>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</si>
  <si>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</si>
  <si>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</si>
  <si>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</si>
  <si>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</si>
  <si>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</si>
  <si>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</si>
  <si>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</si>
  <si>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</si>
  <si>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</si>
  <si>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</si>
  <si>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</si>
  <si>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</si>
  <si>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</si>
  <si>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</si>
  <si>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</si>
  <si>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</si>
  <si>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</si>
  <si>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</si>
  <si>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</si>
  <si>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</si>
  <si>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</si>
  <si>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</si>
  <si>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</si>
  <si>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</si>
  <si>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</si>
  <si>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</si>
  <si>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</si>
  <si>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</si>
  <si>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</si>
  <si>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</si>
  <si>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</si>
  <si>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</si>
  <si>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</si>
  <si>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</si>
  <si>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</si>
  <si>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</si>
  <si>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</si>
  <si>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</si>
  <si>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</si>
  <si>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</si>
  <si>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</si>
  <si>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</si>
  <si>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</si>
  <si>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</si>
  <si>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</si>
  <si>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</si>
  <si>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</si>
  <si>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</si>
  <si>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</si>
  <si>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</si>
  <si>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</si>
  <si>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</si>
  <si>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</si>
  <si>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</si>
  <si>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</si>
  <si>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</si>
  <si>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</si>
  <si>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</si>
  <si>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</si>
  <si>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</si>
  <si>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</si>
  <si>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</si>
  <si>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</si>
  <si>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</si>
  <si>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</si>
  <si>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</si>
  <si>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</si>
  <si>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</si>
  <si>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</si>
  <si>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</si>
  <si>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</si>
  <si>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</si>
  <si>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</si>
  <si>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</si>
  <si>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</si>
  <si>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</si>
  <si>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</si>
  <si>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</si>
  <si>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</si>
  <si>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</si>
  <si>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</si>
  <si>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</si>
  <si>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</si>
  <si>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</si>
  <si>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</si>
  <si>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</si>
  <si>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</si>
  <si>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</si>
  <si>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</si>
  <si>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</si>
  <si>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</si>
  <si>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</si>
  <si>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</si>
  <si>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</si>
  <si>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</si>
  <si>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</si>
  <si>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</si>
  <si>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</si>
  <si>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</si>
  <si>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</si>
  <si>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</si>
  <si>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</si>
  <si>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</si>
  <si>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</si>
  <si>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</si>
  <si>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</si>
  <si>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</si>
  <si>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</si>
  <si>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</si>
  <si>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</si>
  <si>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</si>
  <si>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</si>
  <si>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</si>
  <si>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</si>
  <si>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</si>
  <si>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</si>
  <si>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</si>
  <si>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</si>
  <si>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</si>
  <si>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</si>
  <si>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</si>
  <si>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</si>
  <si>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</si>
  <si>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</si>
  <si>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</si>
  <si>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</si>
  <si>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</si>
  <si>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</si>
  <si>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</si>
  <si>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</si>
  <si>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</si>
  <si>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</si>
  <si>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</si>
  <si>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</si>
  <si>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</si>
  <si>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</si>
  <si>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</si>
  <si>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</si>
  <si>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</si>
  <si>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</si>
  <si>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</si>
  <si>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</si>
  <si>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</si>
  <si>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</si>
  <si>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</si>
  <si>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</si>
  <si>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</si>
  <si>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</si>
  <si>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</si>
  <si>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</si>
  <si>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</si>
  <si>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</si>
  <si>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</si>
  <si>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</si>
  <si>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</si>
  <si>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</si>
  <si>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</si>
  <si>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</si>
  <si>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</si>
  <si>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</si>
  <si>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</si>
  <si>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</si>
  <si>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</si>
  <si>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</si>
  <si>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</si>
  <si>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</si>
  <si>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</si>
  <si>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</si>
  <si>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</si>
  <si>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</si>
  <si>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</si>
  <si>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</si>
  <si>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</si>
  <si>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</si>
  <si>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</si>
  <si>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</si>
  <si>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</si>
  <si>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</si>
  <si>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</si>
  <si>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</si>
  <si>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</si>
  <si>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</si>
  <si>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</si>
  <si>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</si>
  <si>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</si>
  <si>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</si>
  <si>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</si>
  <si>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</si>
  <si>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</si>
  <si>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</si>
  <si>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</si>
  <si>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</si>
  <si>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</si>
  <si>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</si>
  <si>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</si>
  <si>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</si>
  <si>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</si>
  <si>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</si>
  <si>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</si>
  <si>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</si>
  <si>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</si>
  <si>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</si>
  <si>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</si>
  <si>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</si>
  <si>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</si>
  <si>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</si>
  <si>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</si>
  <si>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</si>
  <si>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</si>
  <si>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</si>
  <si>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</si>
  <si>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</si>
  <si>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</si>
  <si>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</si>
  <si>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</si>
  <si>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</si>
  <si>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</si>
  <si>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</si>
  <si>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</si>
  <si>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</si>
  <si>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</si>
  <si>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</si>
  <si>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</si>
  <si>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</si>
  <si>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</si>
  <si>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</si>
  <si>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</si>
  <si>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</si>
  <si>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</si>
  <si>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</si>
  <si>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</si>
  <si>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</si>
  <si>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</si>
  <si>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</si>
  <si>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</si>
  <si>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</si>
  <si>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</si>
  <si>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</si>
  <si>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</si>
  <si>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</si>
  <si>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</si>
  <si>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</si>
  <si>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</si>
  <si>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</si>
  <si>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</si>
  <si>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</si>
  <si>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</si>
  <si>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</si>
  <si>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</si>
  <si>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</si>
  <si>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</si>
  <si>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</si>
  <si>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</si>
  <si>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</si>
  <si>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</si>
  <si>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</si>
  <si>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</si>
  <si>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</si>
  <si>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</si>
  <si>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</si>
  <si>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</si>
  <si>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</si>
  <si>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</si>
  <si>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</si>
  <si>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</si>
  <si>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</si>
  <si>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</si>
  <si>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</si>
  <si>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</si>
  <si>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</si>
  <si>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</si>
  <si>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</si>
  <si>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</si>
  <si>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</si>
  <si>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</si>
  <si>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</si>
  <si>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</si>
  <si>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</si>
  <si>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</si>
  <si>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</si>
  <si>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</si>
  <si>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</si>
  <si>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</si>
  <si>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</si>
  <si>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</si>
  <si>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</si>
  <si>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</si>
  <si>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</si>
  <si>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</si>
  <si>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</si>
  <si>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</si>
  <si>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</si>
  <si>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</si>
  <si>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</si>
  <si>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</si>
  <si>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</si>
  <si>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</si>
  <si>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</si>
  <si>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</si>
  <si>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</si>
  <si>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</si>
  <si>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</si>
  <si>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</si>
  <si>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</si>
  <si>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</si>
  <si>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</si>
  <si>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</si>
  <si>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</si>
  <si>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</si>
  <si>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</si>
  <si>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</si>
  <si>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</si>
  <si>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</si>
  <si>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</si>
  <si>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</si>
  <si>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</si>
  <si>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</si>
  <si>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</si>
  <si>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</si>
  <si>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</si>
  <si>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</si>
  <si>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</si>
  <si>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</si>
  <si>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</si>
  <si>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</si>
  <si>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</si>
  <si>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</si>
  <si>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</si>
  <si>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</si>
  <si>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</si>
  <si>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</si>
  <si>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</si>
  <si>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</si>
  <si>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</si>
  <si>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</si>
  <si>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</si>
  <si>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</si>
  <si>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</si>
  <si>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</si>
  <si>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</si>
  <si>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</si>
  <si>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</si>
  <si>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</si>
  <si>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</si>
  <si>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</si>
  <si>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</si>
  <si>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</si>
  <si>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</si>
  <si>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</si>
  <si>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</si>
  <si>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</si>
  <si>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</si>
  <si>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</si>
  <si>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</si>
  <si>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</si>
  <si>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</si>
  <si>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</si>
  <si>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</si>
  <si>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</si>
  <si>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</si>
  <si>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</si>
  <si>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</si>
  <si>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</si>
  <si>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</si>
  <si>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</si>
  <si>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</si>
  <si>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</si>
  <si>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</si>
  <si>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</si>
  <si>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</si>
  <si>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</si>
  <si>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</si>
  <si>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</si>
  <si>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</si>
  <si>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</si>
  <si>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</si>
  <si>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</si>
  <si>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</si>
  <si>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</si>
  <si>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</si>
  <si>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</si>
  <si>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</si>
  <si>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</si>
  <si>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</si>
  <si>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</si>
  <si>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</si>
  <si>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</si>
  <si>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</si>
  <si>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</si>
  <si>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</si>
  <si>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</si>
  <si>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</si>
  <si>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</si>
  <si>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</si>
  <si>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</si>
  <si>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</si>
  <si>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</si>
  <si>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</si>
  <si>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</si>
  <si>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</si>
  <si>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</si>
  <si>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</si>
  <si>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</si>
  <si>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</si>
  <si>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</si>
  <si>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</si>
  <si>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</si>
  <si>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</si>
  <si>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</si>
  <si>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</si>
  <si>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</si>
  <si>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</si>
  <si>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</si>
  <si>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</si>
  <si>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</si>
  <si>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</si>
  <si>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</si>
  <si>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</si>
  <si>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</si>
  <si>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</si>
  <si>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</si>
  <si>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</si>
  <si>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</si>
  <si>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</si>
  <si>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</si>
  <si>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</si>
  <si>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</si>
  <si>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</si>
  <si>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</si>
  <si>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</si>
  <si>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</si>
  <si>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</si>
  <si>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</si>
  <si>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</si>
  <si>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</si>
  <si>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</si>
  <si>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</si>
  <si>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</si>
  <si>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</si>
  <si>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</si>
  <si>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</si>
  <si>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</si>
  <si>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</si>
  <si>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</si>
  <si>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</si>
  <si>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</si>
  <si>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</si>
  <si>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</si>
  <si>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</si>
  <si>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</si>
  <si>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</si>
  <si>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</si>
  <si>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</si>
  <si>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</si>
  <si>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</si>
  <si>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</si>
  <si>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</si>
  <si>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</si>
  <si>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</si>
  <si>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</si>
  <si>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</si>
  <si>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</si>
  <si>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</si>
  <si>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</si>
  <si>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</si>
  <si>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</si>
  <si>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</si>
  <si>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</si>
  <si>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</si>
  <si>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</si>
  <si>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</si>
  <si>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</si>
  <si>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</si>
  <si>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</si>
  <si>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</si>
  <si>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</si>
  <si>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</si>
  <si>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</si>
  <si>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</si>
  <si>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</si>
  <si>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</si>
  <si>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</si>
  <si>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</si>
  <si>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</si>
  <si>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</si>
  <si>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</si>
  <si>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</si>
  <si>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</si>
  <si>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</si>
  <si>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</si>
  <si>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</si>
  <si>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</si>
  <si>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</si>
  <si>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</si>
  <si>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</si>
  <si>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</si>
  <si>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</si>
  <si>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</si>
  <si>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</si>
  <si>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</si>
  <si>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</si>
  <si>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</si>
  <si>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</si>
  <si>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</si>
  <si>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</si>
  <si>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</si>
  <si>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</si>
  <si>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</si>
  <si>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</si>
  <si>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</si>
  <si>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</si>
  <si>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</si>
  <si>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</si>
  <si>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</si>
  <si>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</si>
  <si>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</si>
  <si>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</si>
  <si>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</si>
  <si>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</si>
  <si>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</si>
  <si>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</si>
  <si>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</si>
  <si>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</si>
  <si>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</si>
  <si>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</si>
  <si>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</si>
  <si>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</si>
  <si>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</si>
  <si>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</si>
  <si>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</si>
  <si>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</si>
  <si>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</si>
  <si>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</si>
  <si>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</si>
  <si>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</si>
  <si>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</si>
  <si>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</si>
  <si>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</si>
  <si>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</si>
  <si>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</si>
  <si>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</si>
  <si>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</si>
  <si>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</si>
  <si>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</si>
  <si>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</si>
  <si>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</si>
  <si>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</si>
  <si>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</si>
  <si>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</si>
  <si>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</si>
  <si>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</si>
  <si>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</si>
  <si>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</si>
  <si>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</si>
  <si>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</si>
  <si>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</si>
  <si>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</si>
  <si>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</si>
  <si>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</si>
  <si>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</si>
  <si>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</si>
  <si>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</si>
  <si>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</si>
  <si>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</si>
  <si>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</si>
  <si>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</si>
  <si>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</si>
  <si>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</si>
  <si>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</si>
  <si>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</si>
  <si>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</si>
  <si>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</si>
  <si>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</si>
  <si>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</si>
  <si>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</si>
  <si>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</si>
  <si>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</si>
  <si>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</si>
  <si>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</si>
  <si>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</si>
  <si>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</si>
  <si>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</si>
  <si>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</si>
  <si>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</si>
  <si>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</si>
  <si>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</si>
  <si>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</si>
  <si>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</si>
  <si>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</si>
  <si>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</si>
  <si>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</si>
  <si>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</si>
  <si>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</si>
  <si>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</si>
  <si>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</si>
  <si>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</si>
  <si>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</si>
  <si>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</si>
  <si>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</si>
  <si>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</si>
  <si>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</si>
  <si>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</si>
  <si>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</si>
  <si>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</si>
  <si>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</si>
  <si>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</si>
  <si>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</si>
  <si>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</si>
  <si>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</si>
  <si>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</si>
  <si>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</si>
  <si>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</si>
  <si>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</si>
  <si>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</si>
  <si>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</si>
  <si>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</si>
  <si>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</si>
  <si>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</si>
  <si>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</si>
  <si>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</si>
  <si>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</si>
  <si>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</si>
  <si>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</si>
  <si>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</si>
  <si>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</si>
  <si>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</si>
  <si>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</si>
  <si>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</si>
  <si>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</si>
  <si>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</si>
  <si>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</si>
  <si>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</si>
  <si>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</si>
  <si>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</si>
  <si>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</si>
  <si>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</si>
  <si>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</si>
  <si>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</si>
  <si>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</si>
  <si>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</si>
  <si>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</si>
  <si>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</si>
  <si>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</si>
  <si>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</si>
  <si>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</si>
  <si>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</si>
  <si>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</si>
  <si>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</si>
  <si>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</si>
  <si>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</si>
  <si>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</si>
  <si>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</si>
  <si>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</si>
  <si>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</si>
  <si>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</si>
  <si>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</si>
  <si>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</si>
  <si>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</si>
  <si>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</si>
  <si>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</si>
  <si>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</si>
  <si>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</si>
  <si>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</si>
  <si>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</si>
  <si>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</si>
  <si>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</si>
  <si>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</si>
  <si>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</si>
  <si>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</si>
  <si>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</si>
  <si>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</si>
  <si>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</si>
  <si>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</si>
  <si>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</si>
  <si>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</si>
  <si>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</si>
  <si>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</si>
  <si>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</si>
  <si>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</si>
  <si>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</si>
  <si>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</si>
  <si>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</si>
  <si>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</si>
  <si>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</si>
  <si>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</si>
  <si>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</si>
  <si>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</si>
  <si>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</si>
  <si>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</si>
  <si>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</si>
  <si>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</si>
  <si>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</si>
  <si>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</si>
  <si>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</si>
  <si>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</si>
  <si>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</si>
  <si>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</si>
  <si>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</si>
  <si>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</si>
  <si>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</si>
  <si>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</si>
  <si>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</si>
  <si>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</si>
  <si>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</si>
  <si>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</si>
  <si>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</si>
  <si>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</si>
  <si>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</si>
  <si>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</si>
  <si>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</si>
  <si>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</si>
  <si>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</si>
  <si>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</si>
  <si>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</si>
  <si>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</si>
  <si>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</si>
  <si>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</si>
  <si>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</si>
  <si>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</si>
  <si>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</si>
  <si>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</si>
  <si>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</si>
  <si>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</si>
  <si>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</si>
  <si>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</si>
  <si>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</si>
  <si>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</si>
  <si>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</si>
  <si>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</si>
  <si>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</si>
  <si>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</si>
  <si>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</si>
  <si>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</si>
  <si>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</si>
  <si>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</si>
  <si>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</si>
  <si>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</si>
  <si>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</si>
  <si>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</si>
  <si>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</si>
  <si>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</si>
  <si>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</si>
  <si>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</si>
  <si>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</si>
  <si>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</si>
  <si>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</si>
  <si>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</si>
  <si>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</si>
  <si>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</si>
  <si>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</si>
  <si>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</si>
  <si>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</si>
  <si>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</si>
  <si>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</si>
  <si>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</si>
  <si>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</si>
  <si>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</si>
  <si>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</si>
  <si>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</si>
  <si>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</si>
  <si>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</si>
  <si>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</si>
  <si>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</si>
  <si>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</si>
  <si>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</si>
  <si>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</si>
  <si>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</si>
  <si>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</si>
  <si>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</si>
  <si>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</si>
  <si>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</si>
  <si>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</si>
  <si>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</si>
  <si>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</si>
  <si>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</si>
  <si>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</si>
  <si>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</si>
  <si>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</si>
  <si>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</si>
  <si>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</si>
  <si>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</si>
  <si>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</si>
  <si>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</si>
  <si>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</si>
  <si>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</si>
  <si>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</si>
  <si>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</si>
  <si>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</si>
  <si>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</si>
  <si>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</si>
  <si>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</si>
  <si>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</si>
  <si>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</si>
  <si>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</si>
  <si>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</si>
  <si>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</si>
  <si>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</si>
  <si>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</si>
  <si>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</si>
  <si>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</si>
  <si>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</si>
  <si>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</si>
  <si>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</si>
  <si>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</si>
  <si>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</si>
  <si>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</si>
  <si>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</si>
  <si>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</si>
  <si>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</si>
  <si>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</si>
  <si>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</si>
  <si>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</si>
  <si>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</si>
  <si>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</si>
  <si>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</si>
  <si>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</si>
  <si>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</si>
  <si>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</si>
  <si>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</si>
  <si>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</si>
  <si>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</si>
  <si>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</si>
  <si>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</si>
  <si>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</si>
  <si>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</si>
  <si>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</si>
  <si>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</si>
  <si>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</si>
  <si>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</si>
  <si>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</si>
  <si>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</si>
  <si>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</si>
  <si>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</si>
  <si>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</si>
  <si>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</si>
  <si>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</si>
  <si>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</si>
  <si>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</si>
  <si>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</si>
  <si>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</si>
  <si>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</si>
  <si>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</si>
  <si>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</si>
  <si>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</si>
  <si>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</si>
  <si>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</si>
  <si>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</si>
  <si>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</si>
  <si>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</si>
  <si>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</si>
  <si>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</si>
  <si>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</si>
  <si>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</si>
  <si>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</si>
  <si>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</si>
  <si>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</si>
  <si>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</si>
  <si>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</si>
  <si>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</si>
  <si>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</si>
  <si>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</si>
  <si>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</si>
  <si>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</si>
  <si>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</si>
  <si>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</si>
  <si>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</si>
  <si>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</si>
  <si>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</si>
  <si>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</si>
  <si>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</si>
  <si>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</si>
  <si>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</si>
  <si>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</si>
  <si>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</si>
  <si>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</si>
  <si>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</si>
  <si>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</si>
  <si>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</si>
  <si>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</si>
  <si>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</si>
  <si>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</si>
  <si>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</si>
  <si>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</si>
  <si>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</si>
  <si>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</si>
  <si>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</si>
  <si>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</si>
  <si>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</si>
  <si>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</si>
  <si>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</si>
  <si>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</si>
  <si>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</si>
  <si>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</si>
  <si>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</si>
  <si>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</si>
  <si>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</si>
  <si>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</si>
  <si>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</si>
  <si>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</si>
  <si>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</si>
  <si>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</si>
  <si>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</si>
  <si>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</si>
  <si>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</si>
  <si>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</si>
  <si>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</si>
  <si>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</si>
  <si>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</si>
  <si>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</si>
  <si>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</si>
  <si>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</si>
  <si>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</si>
  <si>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</si>
  <si>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</si>
  <si>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</si>
  <si>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</si>
  <si>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</si>
  <si>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</si>
  <si>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</si>
  <si>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</si>
  <si>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</si>
  <si>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</si>
  <si>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</si>
  <si>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</si>
  <si>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</si>
  <si>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</si>
  <si>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</si>
  <si>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</si>
  <si>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</si>
  <si>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</si>
  <si>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</si>
  <si>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</si>
  <si>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</si>
  <si>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</si>
  <si>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</si>
  <si>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</si>
  <si>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</si>
  <si>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</si>
  <si>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</si>
  <si>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</si>
  <si>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</si>
  <si>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</si>
  <si>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</si>
  <si>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</si>
  <si>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</si>
  <si>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</si>
  <si>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</si>
  <si>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</si>
  <si>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</si>
  <si>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</si>
  <si>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</si>
  <si>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</si>
  <si>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</si>
  <si>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</si>
  <si>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</si>
  <si>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</si>
  <si>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</si>
  <si>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</si>
  <si>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</si>
  <si>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</si>
  <si>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</si>
  <si>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</si>
  <si>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</si>
  <si>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</si>
  <si>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</si>
  <si>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</si>
  <si>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</si>
  <si>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</si>
  <si>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</si>
  <si>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</si>
  <si>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</si>
  <si>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</si>
  <si>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</si>
  <si>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</si>
  <si>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</si>
  <si>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</si>
  <si>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</si>
  <si>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</si>
  <si>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</si>
  <si>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</si>
  <si>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</si>
  <si>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</si>
  <si>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</si>
  <si>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</si>
  <si>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</si>
  <si>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</si>
  <si>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</si>
  <si>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</si>
  <si>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</si>
  <si>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</si>
  <si>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</si>
  <si>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</si>
  <si>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</si>
  <si>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</si>
  <si>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</si>
  <si>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</si>
  <si>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</si>
  <si>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</si>
  <si>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</si>
  <si>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</si>
  <si>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</si>
  <si>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</si>
  <si>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</si>
  <si>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</si>
  <si>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</si>
  <si>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</si>
  <si>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</si>
  <si>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</si>
  <si>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</si>
  <si>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</si>
  <si>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</si>
  <si>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</si>
  <si>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</si>
  <si>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</si>
  <si>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</si>
  <si>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</si>
  <si>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</si>
  <si>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</si>
  <si>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</si>
  <si>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</si>
  <si>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</si>
  <si>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</si>
  <si>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</si>
  <si>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</si>
  <si>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</si>
  <si>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</si>
  <si>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</si>
  <si>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</si>
  <si>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</si>
  <si>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</si>
  <si>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</si>
  <si>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</si>
  <si>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</si>
  <si>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</si>
  <si>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</si>
  <si>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</si>
  <si>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</si>
  <si>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</si>
  <si>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</si>
  <si>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</si>
  <si>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</si>
  <si>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</si>
  <si>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</si>
  <si>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</si>
  <si>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</si>
  <si>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</si>
  <si>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</si>
  <si>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</si>
  <si>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</si>
  <si>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</si>
  <si>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</si>
  <si>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</si>
  <si>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</si>
  <si>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</si>
  <si>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</si>
  <si>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</si>
  <si>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</si>
  <si>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</si>
  <si>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</si>
  <si>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</si>
  <si>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</si>
  <si>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</si>
  <si>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</si>
  <si>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</si>
  <si>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</si>
  <si>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</si>
  <si>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</si>
  <si>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</si>
  <si>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</si>
  <si>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</si>
  <si>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</si>
  <si>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</si>
  <si>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</si>
  <si>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</si>
  <si>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</si>
  <si>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</si>
  <si>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</si>
  <si>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</si>
  <si>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</si>
  <si>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</si>
  <si>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</si>
  <si>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</si>
  <si>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</si>
  <si>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</si>
  <si>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</si>
  <si>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</si>
  <si>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</si>
  <si>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</si>
  <si>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</si>
  <si>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</si>
  <si>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</si>
  <si>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</si>
  <si>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</si>
  <si>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</si>
  <si>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</si>
  <si>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</si>
  <si>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</si>
  <si>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</si>
  <si>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</si>
  <si>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</si>
  <si>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</si>
  <si>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</si>
  <si>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</si>
  <si>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</si>
  <si>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</si>
  <si>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</si>
  <si>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</si>
  <si>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</si>
  <si>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</si>
  <si>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</si>
  <si>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</si>
  <si>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</si>
  <si>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</si>
  <si>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</si>
  <si>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</si>
  <si>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</si>
  <si>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</si>
  <si>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</si>
  <si>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</si>
  <si>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</si>
  <si>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</si>
  <si>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</si>
  <si>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</si>
  <si>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</si>
  <si>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</si>
  <si>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</si>
  <si>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</si>
  <si>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</si>
  <si>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</si>
  <si>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</si>
  <si>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</si>
  <si>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</si>
  <si>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</si>
  <si>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</si>
  <si>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</si>
  <si>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</si>
  <si>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</si>
  <si>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</si>
  <si>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</si>
  <si>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</si>
  <si>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</si>
  <si>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</si>
  <si>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</si>
  <si>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</si>
  <si>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</si>
  <si>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</si>
  <si>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</si>
  <si>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</si>
  <si>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</si>
  <si>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</si>
  <si>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</si>
  <si>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</si>
  <si>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</si>
  <si>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</si>
  <si>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</si>
  <si>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</si>
  <si>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</si>
  <si>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</si>
  <si>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</si>
  <si>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</si>
  <si>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</si>
  <si>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</si>
  <si>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</si>
  <si>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</si>
  <si>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</si>
  <si>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</si>
  <si>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</si>
  <si>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</si>
  <si>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</si>
  <si>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</si>
  <si>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</si>
  <si>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</si>
  <si>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</si>
  <si>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</si>
  <si>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</si>
  <si>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</si>
  <si>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</si>
  <si>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</si>
  <si>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</si>
  <si>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</si>
  <si>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</si>
  <si>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</si>
  <si>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</si>
  <si>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</si>
  <si>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</si>
  <si>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</si>
  <si>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</si>
  <si>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</si>
  <si>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</si>
  <si>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</si>
  <si>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</si>
  <si>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</si>
  <si>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</si>
  <si>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</si>
  <si>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</si>
  <si>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</si>
  <si>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</si>
  <si>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</si>
  <si>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</si>
  <si>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</si>
  <si>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</si>
  <si>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</si>
  <si>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</si>
  <si>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</si>
  <si>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</si>
  <si>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</si>
  <si>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</si>
  <si>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</si>
  <si>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</si>
  <si>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</si>
  <si>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</si>
  <si>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</si>
  <si>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</si>
  <si>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</si>
  <si>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</si>
  <si>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</si>
  <si>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</si>
  <si>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</si>
  <si>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</si>
  <si>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</si>
  <si>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</si>
  <si>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</si>
  <si>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</si>
  <si>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</si>
  <si>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</si>
  <si>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</si>
  <si>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</si>
  <si>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</si>
  <si>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</si>
  <si>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</si>
  <si>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</si>
  <si>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</si>
  <si>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</si>
  <si>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</si>
  <si>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</si>
  <si>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</si>
  <si>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</si>
  <si>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</si>
  <si>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</si>
  <si>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</si>
  <si>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</si>
  <si>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</si>
  <si>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</si>
  <si>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</si>
  <si>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</si>
  <si>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</si>
  <si>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</si>
  <si>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</si>
  <si>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</si>
  <si>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</si>
  <si>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</si>
  <si>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</si>
  <si>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</si>
  <si>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</si>
  <si>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</si>
  <si>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</si>
  <si>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</si>
  <si>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</si>
  <si>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</si>
  <si>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</si>
  <si>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</si>
  <si>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</si>
  <si>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</si>
  <si>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</si>
  <si>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</si>
  <si>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</si>
  <si>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</si>
  <si>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</si>
  <si>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</si>
  <si>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</si>
  <si>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</si>
  <si>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</si>
  <si>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</si>
  <si>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</si>
  <si>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</si>
  <si>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</si>
  <si>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</si>
  <si>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</si>
  <si>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</si>
  <si>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</si>
  <si>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</si>
  <si>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</si>
  <si>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</si>
  <si>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</si>
  <si>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</si>
  <si>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</si>
  <si>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</si>
  <si>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</si>
  <si>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</si>
  <si>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</si>
  <si>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</si>
  <si>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</si>
  <si>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</si>
  <si>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</si>
  <si>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</si>
  <si>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</si>
  <si>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</si>
  <si>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</si>
  <si>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</si>
  <si>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</si>
  <si>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</si>
  <si>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</si>
  <si>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</si>
  <si>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</si>
  <si>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</si>
  <si>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</si>
  <si>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</si>
  <si>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</si>
  <si>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</si>
  <si>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</si>
  <si>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</si>
  <si>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</si>
  <si>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</si>
  <si>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</si>
  <si>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</si>
  <si>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</si>
  <si>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</si>
  <si>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</si>
  <si>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</si>
  <si>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</si>
  <si>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</si>
  <si>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</si>
  <si>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</si>
  <si>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</si>
  <si>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</si>
  <si>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</si>
  <si>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</si>
  <si>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</si>
  <si>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</si>
  <si>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</si>
  <si>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</si>
  <si>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</si>
  <si>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</si>
  <si>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</si>
  <si>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</si>
  <si>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</si>
  <si>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</si>
  <si>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</si>
  <si>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</si>
  <si>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</si>
  <si>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</si>
  <si>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</si>
  <si>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</si>
  <si>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</si>
  <si>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</si>
  <si>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</si>
  <si>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</si>
  <si>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</si>
  <si>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</si>
  <si>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</si>
  <si>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</si>
  <si>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</si>
  <si>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</si>
  <si>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</si>
  <si>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</si>
  <si>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</si>
  <si>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</si>
  <si>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</si>
  <si>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</si>
  <si>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</si>
  <si>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</si>
  <si>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</si>
  <si>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</si>
  <si>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</si>
  <si>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</si>
  <si>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</si>
  <si>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</si>
  <si>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</si>
  <si>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</si>
  <si>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</si>
  <si>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</si>
  <si>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</si>
  <si>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</si>
  <si>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</si>
  <si>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</si>
  <si>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</si>
  <si>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</si>
  <si>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</si>
  <si>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</si>
  <si>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</si>
  <si>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</si>
  <si>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</si>
  <si>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</si>
  <si>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</si>
  <si>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</si>
  <si>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</si>
  <si>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</si>
  <si>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</si>
  <si>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</si>
  <si>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</si>
  <si>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</si>
  <si>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</si>
  <si>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</si>
  <si>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</si>
  <si>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</si>
  <si>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</si>
  <si>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</si>
  <si>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</si>
  <si>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</si>
  <si>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</si>
  <si>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</si>
  <si>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</si>
  <si>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</si>
  <si>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</si>
  <si>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</si>
  <si>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</si>
  <si>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</si>
  <si>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</si>
  <si>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</si>
  <si>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</si>
  <si>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</si>
  <si>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</si>
  <si>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</si>
  <si>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</si>
  <si>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</si>
  <si>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</si>
  <si>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</si>
  <si>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</si>
  <si>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</si>
  <si>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</si>
  <si>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</si>
  <si>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</si>
  <si>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</si>
  <si>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</si>
  <si>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</si>
  <si>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</si>
  <si>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</si>
  <si>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</si>
  <si>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</si>
  <si>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</si>
  <si>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</si>
  <si>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</si>
  <si>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</si>
  <si>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</si>
  <si>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</si>
  <si>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</si>
  <si>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</si>
  <si>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</si>
  <si>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</si>
  <si>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</si>
  <si>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</si>
  <si>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</si>
  <si>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</si>
  <si>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</si>
  <si>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</si>
  <si>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</si>
  <si>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</si>
  <si>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</si>
  <si>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</si>
  <si>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</si>
  <si>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</si>
  <si>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</si>
  <si>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</si>
  <si>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</si>
  <si>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</si>
  <si>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</si>
  <si>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</si>
  <si>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</si>
  <si>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</si>
  <si>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</si>
  <si>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</si>
  <si>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</si>
  <si>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</si>
  <si>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</si>
  <si>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</si>
  <si>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</si>
  <si>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</si>
  <si>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</si>
  <si>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</si>
  <si>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</si>
  <si>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</si>
  <si>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</si>
  <si>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</si>
  <si>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</si>
  <si>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</si>
  <si>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</si>
  <si>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</si>
  <si>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</si>
  <si>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</si>
  <si>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</si>
  <si>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</si>
  <si>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</si>
  <si>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</si>
  <si>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</si>
  <si>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</si>
  <si>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</si>
  <si>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</si>
  <si>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</si>
  <si>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</si>
  <si>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</si>
  <si>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</si>
  <si>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</si>
  <si>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</si>
  <si>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</si>
  <si>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</si>
  <si>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</si>
  <si>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</si>
  <si>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</si>
  <si>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</si>
  <si>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</si>
  <si>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</si>
  <si>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</si>
  <si>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</si>
  <si>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</si>
  <si>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</si>
  <si>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</si>
  <si>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</si>
  <si>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</si>
  <si>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</si>
  <si>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</si>
  <si>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</si>
  <si>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</si>
  <si>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</si>
  <si>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</si>
  <si>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</si>
  <si>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</si>
  <si>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</si>
  <si>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</si>
  <si>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</si>
  <si>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</si>
  <si>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</si>
  <si>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</si>
  <si>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</si>
  <si>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</si>
  <si>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</si>
  <si>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</si>
  <si>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</si>
  <si>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</si>
  <si>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</si>
  <si>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</si>
  <si>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</si>
  <si>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</si>
  <si>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</si>
  <si>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</si>
  <si>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</si>
  <si>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</si>
  <si>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</si>
  <si>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</si>
  <si>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</si>
  <si>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</si>
  <si>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</si>
  <si>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</si>
  <si>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</si>
  <si>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</si>
  <si>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</si>
  <si>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</si>
  <si>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</si>
  <si>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</si>
  <si>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</si>
  <si>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</si>
  <si>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</si>
  <si>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</si>
  <si>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</si>
  <si>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</si>
  <si>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</si>
  <si>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</si>
  <si>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</si>
  <si>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</si>
  <si>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</si>
  <si>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</si>
  <si>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</si>
  <si>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</si>
  <si>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</si>
  <si>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</si>
  <si>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</si>
  <si>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</si>
  <si>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</si>
  <si>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</si>
  <si>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</si>
  <si>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</si>
  <si>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</si>
  <si>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</si>
  <si>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</si>
  <si>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</si>
  <si>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</si>
  <si>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</si>
  <si>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</si>
  <si>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</si>
  <si>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</si>
  <si>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</si>
  <si>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</si>
  <si>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</si>
  <si>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</si>
  <si>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</si>
  <si>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</si>
  <si>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</si>
  <si>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</si>
  <si>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</si>
  <si>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</si>
  <si>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</si>
  <si>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</si>
  <si>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</si>
  <si>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</si>
  <si>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</si>
  <si>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</si>
  <si>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</si>
  <si>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</si>
  <si>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</si>
  <si>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</si>
  <si>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</si>
  <si>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</si>
  <si>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</si>
  <si>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</si>
  <si>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</si>
  <si>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</si>
  <si>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</si>
  <si>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</si>
  <si>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</si>
  <si>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</si>
  <si>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</si>
  <si>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</si>
  <si>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</si>
  <si>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</si>
  <si>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</si>
  <si>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</si>
  <si>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</si>
  <si>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</si>
  <si>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</si>
  <si>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</si>
  <si>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</si>
  <si>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</si>
  <si>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</si>
  <si>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</si>
  <si>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</si>
  <si>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</si>
  <si>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</si>
  <si>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</si>
  <si>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</si>
  <si>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</si>
  <si>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</si>
  <si>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</si>
  <si>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</si>
  <si>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</si>
  <si>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</si>
  <si>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</si>
  <si>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</si>
  <si>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</si>
  <si>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</si>
  <si>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</si>
  <si>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</si>
  <si>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</si>
  <si>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</si>
  <si>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</si>
  <si>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</si>
  <si>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</si>
  <si>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</si>
  <si>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</si>
  <si>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</si>
  <si>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</si>
  <si>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</si>
  <si>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</si>
  <si>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</si>
  <si>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</si>
  <si>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</si>
  <si>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</si>
  <si>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</si>
  <si>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</si>
  <si>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</si>
  <si>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</si>
  <si>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</si>
  <si>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</si>
  <si>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</si>
  <si>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</si>
  <si>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</si>
  <si>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</si>
  <si>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</si>
  <si>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</si>
  <si>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</si>
  <si>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</si>
  <si>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</si>
  <si>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</si>
  <si>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</si>
  <si>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</si>
  <si>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</si>
  <si>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</si>
  <si>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</si>
  <si>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</si>
  <si>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</si>
  <si>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</si>
  <si>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</si>
  <si>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</si>
  <si>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</si>
  <si>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</si>
  <si>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</si>
  <si>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</si>
  <si>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</si>
  <si>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</si>
  <si>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</si>
  <si>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</si>
  <si>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</si>
  <si>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</si>
  <si>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</si>
  <si>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</si>
  <si>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</si>
  <si>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</si>
  <si>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</si>
  <si>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</si>
  <si>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</si>
  <si>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</si>
  <si>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</si>
  <si>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</si>
  <si>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</si>
  <si>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</si>
  <si>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</si>
  <si>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</si>
  <si>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</si>
  <si>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</si>
  <si>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</si>
  <si>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</si>
  <si>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</si>
  <si>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</si>
  <si>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</si>
  <si>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</si>
  <si>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</si>
  <si>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</si>
  <si>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</si>
  <si>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</si>
  <si>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</si>
  <si>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</si>
  <si>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</si>
  <si>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</si>
  <si>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</si>
  <si>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</si>
  <si>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</si>
  <si>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</si>
  <si>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</si>
  <si>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</si>
  <si>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</si>
  <si>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</si>
  <si>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</si>
  <si>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</si>
  <si>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</si>
  <si>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</si>
  <si>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</si>
  <si>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</si>
  <si>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</si>
  <si>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</si>
  <si>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</si>
  <si>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</si>
  <si>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</si>
  <si>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</si>
  <si>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</si>
  <si>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</si>
  <si>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</si>
  <si>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</si>
  <si>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</si>
  <si>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</si>
  <si>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</si>
  <si>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</si>
  <si>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</si>
  <si>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</si>
  <si>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</si>
  <si>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</si>
  <si>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</si>
  <si>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</si>
  <si>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</si>
  <si>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</si>
  <si>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</si>
  <si>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</si>
  <si>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</si>
  <si>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</si>
  <si>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</si>
  <si>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</si>
  <si>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</si>
  <si>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</si>
  <si>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</si>
  <si>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</si>
  <si>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</si>
  <si>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</si>
  <si>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</si>
  <si>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</si>
  <si>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</si>
  <si>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</si>
  <si>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</si>
  <si>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</si>
  <si>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</si>
  <si>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</si>
  <si>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</si>
  <si>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</si>
  <si>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</si>
  <si>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</si>
  <si>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</si>
  <si>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</si>
  <si>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</si>
  <si>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</si>
  <si>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</si>
  <si>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</si>
  <si>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</si>
  <si>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</si>
  <si>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</si>
  <si>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</si>
  <si>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</si>
  <si>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</si>
  <si>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</si>
  <si>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</si>
  <si>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</si>
  <si>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</si>
  <si>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</si>
  <si>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</si>
  <si>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</si>
  <si>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</si>
  <si>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</si>
  <si>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</si>
  <si>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</si>
  <si>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</si>
  <si>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</si>
  <si>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</si>
  <si>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</si>
  <si>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</si>
  <si>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</si>
  <si>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</si>
  <si>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</si>
  <si>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</si>
  <si>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</si>
  <si>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</si>
  <si>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</si>
  <si>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</si>
  <si>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</si>
  <si>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</si>
  <si>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</si>
  <si>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</si>
  <si>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</si>
  <si>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</si>
  <si>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</si>
  <si>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</si>
  <si>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</si>
  <si>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</si>
  <si>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</si>
  <si>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</si>
  <si>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</si>
  <si>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</si>
  <si>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</si>
  <si>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</si>
  <si>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</si>
  <si>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</si>
  <si>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</si>
  <si>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</si>
  <si>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</si>
  <si>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</si>
  <si>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</si>
  <si>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</si>
  <si>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</si>
  <si>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</si>
  <si>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</si>
  <si>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</si>
  <si>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</si>
  <si>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</si>
  <si>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</si>
  <si>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</si>
  <si>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</si>
  <si>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</si>
  <si>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</si>
  <si>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</si>
  <si>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</si>
  <si>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</si>
  <si>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</si>
  <si>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</si>
  <si>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</si>
  <si>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</si>
  <si>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</si>
  <si>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</si>
  <si>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</si>
  <si>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</si>
  <si>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</si>
  <si>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</si>
  <si>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</si>
  <si>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</si>
  <si>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</si>
  <si>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</si>
  <si>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</si>
  <si>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</si>
  <si>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</si>
  <si>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</si>
  <si>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</si>
  <si>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</si>
  <si>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</si>
  <si>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</si>
  <si>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</si>
  <si>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</si>
  <si>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</si>
  <si>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</si>
  <si>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</si>
  <si>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</si>
  <si>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</si>
  <si>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</si>
  <si>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</si>
  <si>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</si>
  <si>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</si>
  <si>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</si>
  <si>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</si>
  <si>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</si>
  <si>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</si>
  <si>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</si>
  <si>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</si>
  <si>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</si>
  <si>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</si>
  <si>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</si>
  <si>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</si>
  <si>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</si>
  <si>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</si>
  <si>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</si>
  <si>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</si>
  <si>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</si>
  <si>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</si>
  <si>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</si>
  <si>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</si>
  <si>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</si>
  <si>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</si>
  <si>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</si>
  <si>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</si>
  <si>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</si>
  <si>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</si>
  <si>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</si>
  <si>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</si>
  <si>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</si>
  <si>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</si>
  <si>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</si>
  <si>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</si>
  <si>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</si>
  <si>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</si>
  <si>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</si>
  <si>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</si>
  <si>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</si>
  <si>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</si>
  <si>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</si>
  <si>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</si>
  <si>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</si>
  <si>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</si>
  <si>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</si>
  <si>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</si>
  <si>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</si>
  <si>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</si>
  <si>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</si>
  <si>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</si>
  <si>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</si>
  <si>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</si>
  <si>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</si>
  <si>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</si>
  <si>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</si>
  <si>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</si>
  <si>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</si>
  <si>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</si>
  <si>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</si>
  <si>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</si>
  <si>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</si>
  <si>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</si>
  <si>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</si>
  <si>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</si>
  <si>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</si>
  <si>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</si>
  <si>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</si>
  <si>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</si>
  <si>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</si>
  <si>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</si>
  <si>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</si>
  <si>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</si>
  <si>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</si>
  <si>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</si>
  <si>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</si>
  <si>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</si>
  <si>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</si>
  <si>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</si>
  <si>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</si>
  <si>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</si>
  <si>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</si>
  <si>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</si>
  <si>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</si>
  <si>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</si>
  <si>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</si>
  <si>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</si>
  <si>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</si>
  <si>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</si>
  <si>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</si>
  <si>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</si>
  <si>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</si>
  <si>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</si>
  <si>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</si>
  <si>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</si>
  <si>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</si>
  <si>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</si>
  <si>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</si>
  <si>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</si>
  <si>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</si>
  <si>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</si>
  <si>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</si>
  <si>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</si>
  <si>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</si>
  <si>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</si>
  <si>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</si>
  <si>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</si>
  <si>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</si>
  <si>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</si>
  <si>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</si>
  <si>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</si>
  <si>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</si>
  <si>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</si>
  <si>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</si>
  <si>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</si>
  <si>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</si>
  <si>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</si>
  <si>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</si>
  <si>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</si>
  <si>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</si>
  <si>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</si>
  <si>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</si>
  <si>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</si>
  <si>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</si>
  <si>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</si>
  <si>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</si>
  <si>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</si>
  <si>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</si>
  <si>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</si>
  <si>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</si>
  <si>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</si>
  <si>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</si>
  <si>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</si>
  <si>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</si>
  <si>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</si>
  <si>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</si>
  <si>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</si>
  <si>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</si>
  <si>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</si>
  <si>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</si>
  <si>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</si>
  <si>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</si>
  <si>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</si>
  <si>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</si>
  <si>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</si>
  <si>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</si>
  <si>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</si>
  <si>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</si>
  <si>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</si>
  <si>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</si>
  <si>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</si>
  <si>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</si>
  <si>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</si>
  <si>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</si>
  <si>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</si>
  <si>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</si>
  <si>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</si>
  <si>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</si>
  <si>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</si>
  <si>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</si>
  <si>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</si>
  <si>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</si>
  <si>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</si>
  <si>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</si>
  <si>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</si>
  <si>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</si>
  <si>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</si>
  <si>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</si>
  <si>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</si>
  <si>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</si>
  <si>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</si>
  <si>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</si>
  <si>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</si>
  <si>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</si>
  <si>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</si>
  <si>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</si>
  <si>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</si>
  <si>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</si>
  <si>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</si>
  <si>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</si>
  <si>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</si>
  <si>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</si>
  <si>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</si>
  <si>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</si>
  <si>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</si>
  <si>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</si>
  <si>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</si>
  <si>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</si>
  <si>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</si>
  <si>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</si>
  <si>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</si>
  <si>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</si>
  <si>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</si>
  <si>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</si>
  <si>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</si>
  <si>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</si>
  <si>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</si>
  <si>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</si>
  <si>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</si>
  <si>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</si>
  <si>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</si>
  <si>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</si>
  <si>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</si>
  <si>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</si>
  <si>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</si>
  <si>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</si>
  <si>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</si>
  <si>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</si>
  <si>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</si>
  <si>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</si>
  <si>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</si>
  <si>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</si>
  <si>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</si>
  <si>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</si>
  <si>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</si>
  <si>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</si>
  <si>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</si>
  <si>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</si>
  <si>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</si>
  <si>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</si>
  <si>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</si>
  <si>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</si>
  <si>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</si>
  <si>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</si>
  <si>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</si>
  <si>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</si>
  <si>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</si>
  <si>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</si>
  <si>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</si>
  <si>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</si>
  <si>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</si>
  <si>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</si>
  <si>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</si>
  <si>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</si>
  <si>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</si>
  <si>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</si>
  <si>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</si>
  <si>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</si>
  <si>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</si>
  <si>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</si>
  <si>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</si>
  <si>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</si>
  <si>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</si>
  <si>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</si>
  <si>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</si>
  <si>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</si>
  <si>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</si>
  <si>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</si>
  <si>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</si>
  <si>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</si>
  <si>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</si>
  <si>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</si>
  <si>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</si>
  <si>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</si>
  <si>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</si>
  <si>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</si>
  <si>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</si>
  <si>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</si>
  <si>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</si>
  <si>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</si>
  <si>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</si>
  <si>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</si>
  <si>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</si>
  <si>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</si>
  <si>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</si>
  <si>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</si>
  <si>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</si>
  <si>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</si>
  <si>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</si>
  <si>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</si>
  <si>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</si>
  <si>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</si>
  <si>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</si>
  <si>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</si>
  <si>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</si>
  <si>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</si>
  <si>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</si>
  <si>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</si>
  <si>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</si>
  <si>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</si>
  <si>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</si>
  <si>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</si>
  <si>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</si>
  <si>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</si>
  <si>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</si>
  <si>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</si>
  <si>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</si>
  <si>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</si>
  <si>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</si>
  <si>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</si>
  <si>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</si>
  <si>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</si>
  <si>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</si>
  <si>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</si>
  <si>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</si>
  <si>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</si>
  <si>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</si>
  <si>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</si>
  <si>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</si>
  <si>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</si>
  <si>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</si>
  <si>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</si>
  <si>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</si>
  <si>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</si>
  <si>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</si>
  <si>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</si>
  <si>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</si>
  <si>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</si>
  <si>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</si>
  <si>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</si>
  <si>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</si>
  <si>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</si>
  <si>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</si>
  <si>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</si>
  <si>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</si>
  <si>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</si>
  <si>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</si>
  <si>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</si>
  <si>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</si>
  <si>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</si>
  <si>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</si>
  <si>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</si>
  <si>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</si>
  <si>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</si>
  <si>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</si>
  <si>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</si>
  <si>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</si>
  <si>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</si>
  <si>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</si>
  <si>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</si>
  <si>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</si>
  <si>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</si>
  <si>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</si>
  <si>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</si>
  <si>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</si>
  <si>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</si>
  <si>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</si>
  <si>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</si>
  <si>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</si>
  <si>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</si>
  <si>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</si>
  <si>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</si>
  <si>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</si>
  <si>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</si>
  <si>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</si>
  <si>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</si>
  <si>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</si>
  <si>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</si>
  <si>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</si>
  <si>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</si>
  <si>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</si>
  <si>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</si>
  <si>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</si>
  <si>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</si>
  <si>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</si>
  <si>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</si>
  <si>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</si>
  <si>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</si>
  <si>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</si>
  <si>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</si>
  <si>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</si>
  <si>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</si>
  <si>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</si>
  <si>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</si>
  <si>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</si>
  <si>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</si>
  <si>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</si>
  <si>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</si>
  <si>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</si>
  <si>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</si>
  <si>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</si>
  <si>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</si>
  <si>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</si>
  <si>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</si>
  <si>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</si>
  <si>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</si>
  <si>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</si>
  <si>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</si>
  <si>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</si>
  <si>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</si>
  <si>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</si>
  <si>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</si>
  <si>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</si>
  <si>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</si>
  <si>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</si>
  <si>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</si>
  <si>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</si>
  <si>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</si>
  <si>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</si>
  <si>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</si>
  <si>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</si>
  <si>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</si>
  <si>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</si>
  <si>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</si>
  <si>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</si>
  <si>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</si>
  <si>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</si>
  <si>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</si>
  <si>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</si>
  <si>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</si>
  <si>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</si>
  <si>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</si>
  <si>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</si>
  <si>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</si>
  <si>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</si>
  <si>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</si>
  <si>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</si>
  <si>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</si>
  <si>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</si>
  <si>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</si>
  <si>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</si>
  <si>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</si>
  <si>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</si>
  <si>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</si>
  <si>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</si>
  <si>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</si>
  <si>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</si>
  <si>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</si>
  <si>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</si>
  <si>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</si>
  <si>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</si>
  <si>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</si>
  <si>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</si>
  <si>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</si>
  <si>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</si>
  <si>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</si>
  <si>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</si>
  <si>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</si>
  <si>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</si>
  <si>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</si>
  <si>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</si>
  <si>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</si>
  <si>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</si>
  <si>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</si>
  <si>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</si>
  <si>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</si>
  <si>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</si>
  <si>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</si>
  <si>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</si>
  <si>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</si>
  <si>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</si>
  <si>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</si>
  <si>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</si>
  <si>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</si>
  <si>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</si>
  <si>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</si>
  <si>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</si>
  <si>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</si>
  <si>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</si>
  <si>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</si>
  <si>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</si>
  <si>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</si>
  <si>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</si>
  <si>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</si>
  <si>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</si>
  <si>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</si>
  <si>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</si>
  <si>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</si>
  <si>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</si>
  <si>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</si>
  <si>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</si>
  <si>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</si>
  <si>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</si>
  <si>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</si>
  <si>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</si>
  <si>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</si>
  <si>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</si>
  <si>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</si>
  <si>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</si>
  <si>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</si>
  <si>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</si>
  <si>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</si>
  <si>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</si>
  <si>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</si>
  <si>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</si>
  <si>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</si>
  <si>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</si>
  <si>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</si>
  <si>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</si>
  <si>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</si>
  <si>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</si>
  <si>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</si>
  <si>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</si>
  <si>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</si>
  <si>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</si>
  <si>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</si>
  <si>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</si>
  <si>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</si>
  <si>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</si>
  <si>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</si>
  <si>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</si>
  <si>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</si>
  <si>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</si>
  <si>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</si>
  <si>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</si>
  <si>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</si>
  <si>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</si>
  <si>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</si>
  <si>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</si>
  <si>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</si>
  <si>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</si>
  <si>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</si>
  <si>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</si>
  <si>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</si>
  <si>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</si>
  <si>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</si>
  <si>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</si>
  <si>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</si>
  <si>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</si>
  <si>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</si>
  <si>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</si>
  <si>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</si>
  <si>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</si>
  <si>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</si>
  <si>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</si>
  <si>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</si>
  <si>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</si>
  <si>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</si>
  <si>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</si>
  <si>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</si>
  <si>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</si>
  <si>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</si>
  <si>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</si>
  <si>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</si>
  <si>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</si>
  <si>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</si>
  <si>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</si>
  <si>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</si>
  <si>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</si>
  <si>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</si>
  <si>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</si>
  <si>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</si>
  <si>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</si>
  <si>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</si>
  <si>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</si>
  <si>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</si>
  <si>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</si>
  <si>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</si>
  <si>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</si>
  <si>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</si>
  <si>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</si>
  <si>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</si>
  <si>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</si>
  <si>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</si>
  <si>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</si>
  <si>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</si>
  <si>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</si>
  <si>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</si>
  <si>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</si>
  <si>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</si>
  <si>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</si>
  <si>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</si>
  <si>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</si>
  <si>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</si>
  <si>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</si>
  <si>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</si>
  <si>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</si>
  <si>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</si>
  <si>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</si>
  <si>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</si>
  <si>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</si>
  <si>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</si>
  <si>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</si>
  <si>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</si>
  <si>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</si>
  <si>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</si>
  <si>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</si>
  <si>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</si>
  <si>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</si>
  <si>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</si>
  <si>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</si>
  <si>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</si>
  <si>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</si>
  <si>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</si>
  <si>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</si>
  <si>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</si>
  <si>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</si>
  <si>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</si>
  <si>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</si>
  <si>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</si>
  <si>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</si>
  <si>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</si>
  <si>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</si>
  <si>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</si>
  <si>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</si>
  <si>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</si>
  <si>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</si>
  <si>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</si>
  <si>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</si>
  <si>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</si>
  <si>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</si>
  <si>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</si>
  <si>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</si>
  <si>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</si>
  <si>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</si>
  <si>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</si>
  <si>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</si>
  <si>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</si>
  <si>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</si>
  <si>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</si>
  <si>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</si>
  <si>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</si>
  <si>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</si>
  <si>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</si>
  <si>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</si>
  <si>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</si>
  <si>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</si>
  <si>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</si>
  <si>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</si>
  <si>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</si>
  <si>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</si>
  <si>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</si>
  <si>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</si>
  <si>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</si>
  <si>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</si>
  <si>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</si>
  <si>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</si>
  <si>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</si>
  <si>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</si>
  <si>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</si>
  <si>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</si>
  <si>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</si>
  <si>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</si>
  <si>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</si>
  <si>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</si>
  <si>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</si>
  <si>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</si>
  <si>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</si>
  <si>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</si>
  <si>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</si>
  <si>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</si>
  <si>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</si>
  <si>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</si>
  <si>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</si>
  <si>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</si>
  <si>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</si>
  <si>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</si>
  <si>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</si>
  <si>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</si>
  <si>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</si>
  <si>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</si>
  <si>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</si>
  <si>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</si>
  <si>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</si>
  <si>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</si>
  <si>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</si>
  <si>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</si>
  <si>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</si>
  <si>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</si>
  <si>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</si>
  <si>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</si>
  <si>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</si>
  <si>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</si>
  <si>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</si>
  <si>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</si>
  <si>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</si>
  <si>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</si>
  <si>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</si>
  <si>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</si>
  <si>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</si>
  <si>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</si>
  <si>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</si>
  <si>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</si>
  <si>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</si>
  <si>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</si>
  <si>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</si>
  <si>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</si>
  <si>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</si>
  <si>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</si>
  <si>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</si>
  <si>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</si>
  <si>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</si>
  <si>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</si>
  <si>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</si>
  <si>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</si>
  <si>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</si>
  <si>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</si>
  <si>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</si>
  <si>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</si>
  <si>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</si>
  <si>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</si>
  <si>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</si>
  <si>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</si>
  <si>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</si>
  <si>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</si>
  <si>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</si>
  <si>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</si>
  <si>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</si>
  <si>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</si>
  <si>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</si>
  <si>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</si>
  <si>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</si>
  <si>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</si>
  <si>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</si>
  <si>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</si>
  <si>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</si>
  <si>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</si>
  <si>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</si>
  <si>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</si>
  <si>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</si>
  <si>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</si>
  <si>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</si>
  <si>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</si>
  <si>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</si>
  <si>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</si>
  <si>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</si>
  <si>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</si>
  <si>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</si>
  <si>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</si>
  <si>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</si>
  <si>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</si>
  <si>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</si>
  <si>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</si>
  <si>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</si>
  <si>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</si>
  <si>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</si>
  <si>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</si>
  <si>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</si>
  <si>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</si>
  <si>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</si>
  <si>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</si>
  <si>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</si>
  <si>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</si>
  <si>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</si>
  <si>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</si>
  <si>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</si>
  <si>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</si>
  <si>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</si>
  <si>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</si>
  <si>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</si>
  <si>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</si>
  <si>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</si>
  <si>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</si>
  <si>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</si>
  <si>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</si>
  <si>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</si>
  <si>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</si>
  <si>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</si>
  <si>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</si>
  <si>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</si>
  <si>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</si>
  <si>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</si>
  <si>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</si>
  <si>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</si>
  <si>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</si>
  <si>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</si>
  <si>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</si>
  <si>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</si>
  <si>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</si>
  <si>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</si>
  <si>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</si>
  <si>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</si>
  <si>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</si>
  <si>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</si>
  <si>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</si>
  <si>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</si>
  <si>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</si>
  <si>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</si>
  <si>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</si>
  <si>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</si>
  <si>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</si>
  <si>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</si>
  <si>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</si>
  <si>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</si>
  <si>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</si>
  <si>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</si>
  <si>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</si>
  <si>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</si>
  <si>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</si>
  <si>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</si>
  <si>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</si>
  <si>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</si>
  <si>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</si>
  <si>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</si>
  <si>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</si>
  <si>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</si>
  <si>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</si>
  <si>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</si>
  <si>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</si>
  <si>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</si>
  <si>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</si>
  <si>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</si>
  <si>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</si>
  <si>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</si>
  <si>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</si>
  <si>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</si>
  <si>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</si>
  <si>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</si>
  <si>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</si>
  <si>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</si>
  <si>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</si>
  <si>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</si>
  <si>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</si>
  <si>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</si>
  <si>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</si>
  <si>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</si>
  <si>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</si>
  <si>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</si>
  <si>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</si>
  <si>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</si>
  <si>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</si>
  <si>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</si>
  <si>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</si>
  <si>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</si>
  <si>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</si>
  <si>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</si>
  <si>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</si>
  <si>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</si>
  <si>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</si>
  <si>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</si>
  <si>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</si>
  <si>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</si>
  <si>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</si>
  <si>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</si>
  <si>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</si>
  <si>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</si>
  <si>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</si>
  <si>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</si>
  <si>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</si>
  <si>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</si>
  <si>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</si>
  <si>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</si>
  <si>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</si>
  <si>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</si>
  <si>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</si>
  <si>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</si>
  <si>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</si>
  <si>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</si>
  <si>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</si>
  <si>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</si>
  <si>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</si>
  <si>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</si>
  <si>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</si>
  <si>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</si>
  <si>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</si>
  <si>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</si>
  <si>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</si>
  <si>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</si>
  <si>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</si>
  <si>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</si>
  <si>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</si>
  <si>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</si>
  <si>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</si>
  <si>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</si>
  <si>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</si>
  <si>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</si>
  <si>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</si>
  <si>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</si>
  <si>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</si>
  <si>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</si>
  <si>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</si>
  <si>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</si>
  <si>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</si>
  <si>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</si>
  <si>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</si>
  <si>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</si>
  <si>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</si>
  <si>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</si>
  <si>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</si>
  <si>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</si>
  <si>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</si>
  <si>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</si>
  <si>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</si>
  <si>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</si>
  <si>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</si>
  <si>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</si>
  <si>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</si>
  <si>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</si>
  <si>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</si>
  <si>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</si>
  <si>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</si>
  <si>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</si>
  <si>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</si>
  <si>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</si>
  <si>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</si>
  <si>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</si>
  <si>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</si>
  <si>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</si>
  <si>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</si>
  <si>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</si>
  <si>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</si>
  <si>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</si>
  <si>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</si>
  <si>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</si>
  <si>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</si>
  <si>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</si>
  <si>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</si>
  <si>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</si>
  <si>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</si>
  <si>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</si>
  <si>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</si>
  <si>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</si>
  <si>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</si>
  <si>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</si>
  <si>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</si>
  <si>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</si>
  <si>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</si>
  <si>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</si>
  <si>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</si>
  <si>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</si>
  <si>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</si>
  <si>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</si>
  <si>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</si>
  <si>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</si>
  <si>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</si>
  <si>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</si>
  <si>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</si>
  <si>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</si>
  <si>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</si>
  <si>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</si>
  <si>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</si>
  <si>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</si>
  <si>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</si>
  <si>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</si>
  <si>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</si>
  <si>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</si>
  <si>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</si>
  <si>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</si>
  <si>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</si>
  <si>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</si>
  <si>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</si>
  <si>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</si>
  <si>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</si>
  <si>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</si>
  <si>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</si>
  <si>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</si>
  <si>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</si>
  <si>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</si>
  <si>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</si>
  <si>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</si>
  <si>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</si>
  <si>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</si>
  <si>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</si>
  <si>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</si>
  <si>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</si>
  <si>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</si>
  <si>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</si>
  <si>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</si>
  <si>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</si>
  <si>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</si>
  <si>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</si>
  <si>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</si>
  <si>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</si>
  <si>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</si>
  <si>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</si>
  <si>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</si>
  <si>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</si>
  <si>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</si>
  <si>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</si>
  <si>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</si>
  <si>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</si>
  <si>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</si>
  <si>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</si>
  <si>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</si>
  <si>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</si>
  <si>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</si>
  <si>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</si>
  <si>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</si>
  <si>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</si>
  <si>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</si>
  <si>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</si>
  <si>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</si>
  <si>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</si>
  <si>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</si>
  <si>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</si>
  <si>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</si>
  <si>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</si>
  <si>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</si>
  <si>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</si>
  <si>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</si>
  <si>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</si>
  <si>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</si>
  <si>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</si>
  <si>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</si>
  <si>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</si>
  <si>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</si>
  <si>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</si>
  <si>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</si>
  <si>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</si>
  <si>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</si>
  <si>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</si>
  <si>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</si>
  <si>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</si>
  <si>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</si>
  <si>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</si>
  <si>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</si>
  <si>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</si>
  <si>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</si>
  <si>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</si>
  <si>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</si>
  <si>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</si>
  <si>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</si>
  <si>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</si>
  <si>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</si>
  <si>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</si>
  <si>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</si>
  <si>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</si>
  <si>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</si>
  <si>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</si>
  <si>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</si>
  <si>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</si>
  <si>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</si>
  <si>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</si>
  <si>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</si>
  <si>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</si>
  <si>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</si>
  <si>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</si>
  <si>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</si>
  <si>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</si>
  <si>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</si>
  <si>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</si>
  <si>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</si>
  <si>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</si>
  <si>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</si>
  <si>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</si>
  <si>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</si>
  <si>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</si>
  <si>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</si>
  <si>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</si>
  <si>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</si>
  <si>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</si>
  <si>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</si>
  <si>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</si>
  <si>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</si>
  <si>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</si>
  <si>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</si>
  <si>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</si>
  <si>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</si>
  <si>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</si>
  <si>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</si>
  <si>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</si>
  <si>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</si>
  <si>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</si>
  <si>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</si>
  <si>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</si>
  <si>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</si>
  <si>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</si>
  <si>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</si>
  <si>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</si>
  <si>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</si>
  <si>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</si>
  <si>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</si>
  <si>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</si>
  <si>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</si>
  <si>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</si>
  <si>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</si>
  <si>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</si>
  <si>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</si>
  <si>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</si>
  <si>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</si>
  <si>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</si>
  <si>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</si>
  <si>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</si>
  <si>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</si>
  <si>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</si>
  <si>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</si>
  <si>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</si>
  <si>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</si>
  <si>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</si>
  <si>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</si>
  <si>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</si>
  <si>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</si>
  <si>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</si>
  <si>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</si>
  <si>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</si>
  <si>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</si>
  <si>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</si>
  <si>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</si>
  <si>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</si>
  <si>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</si>
  <si>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</si>
  <si>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</si>
  <si>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</si>
  <si>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</si>
  <si>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</si>
  <si>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</si>
  <si>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</si>
  <si>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</si>
  <si>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</si>
  <si>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</si>
  <si>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</si>
  <si>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</si>
  <si>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</si>
  <si>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</si>
  <si>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</si>
  <si>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</si>
  <si>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</si>
  <si>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</si>
  <si>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</si>
  <si>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</si>
  <si>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</si>
  <si>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</si>
  <si>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</si>
  <si>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</si>
  <si>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</si>
  <si>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</si>
  <si>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</si>
  <si>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</si>
  <si>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</si>
  <si>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</si>
  <si>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</si>
  <si>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</si>
  <si>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</si>
  <si>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</si>
  <si>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</si>
  <si>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</si>
  <si>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</si>
  <si>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</si>
  <si>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</si>
  <si>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</si>
  <si>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</si>
  <si>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</si>
  <si>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</si>
  <si>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</si>
  <si>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</si>
  <si>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</si>
  <si>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</si>
  <si>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</si>
  <si>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</si>
  <si>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</si>
  <si>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</si>
  <si>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</si>
  <si>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</si>
  <si>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</si>
  <si>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</si>
  <si>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</si>
  <si>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</si>
  <si>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</si>
  <si>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</si>
  <si>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</si>
  <si>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</si>
  <si>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</si>
  <si>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</si>
  <si>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</si>
  <si>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</si>
  <si>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</si>
  <si>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</si>
  <si>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</si>
  <si>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</si>
  <si>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</si>
  <si>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</si>
  <si>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</si>
  <si>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</si>
  <si>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</si>
  <si>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</si>
  <si>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</si>
  <si>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</si>
  <si>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</si>
  <si>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</si>
  <si>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</si>
  <si>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</si>
  <si>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</si>
  <si>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</si>
  <si>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</si>
  <si>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</si>
  <si>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</si>
  <si>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</si>
  <si>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</si>
  <si>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</si>
  <si>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</si>
  <si>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</si>
  <si>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</si>
  <si>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</si>
  <si>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</si>
  <si>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</si>
  <si>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</si>
  <si>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</si>
  <si>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</si>
  <si>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</si>
  <si>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</si>
  <si>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</si>
  <si>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</si>
  <si>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</si>
  <si>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</si>
  <si>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</si>
  <si>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</si>
  <si>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</si>
  <si>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</si>
  <si>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</si>
  <si>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</si>
  <si>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</si>
  <si>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</si>
  <si>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</si>
  <si>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</si>
  <si>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</si>
  <si>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</si>
  <si>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</si>
  <si>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</si>
  <si>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</si>
  <si>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</si>
  <si>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</si>
  <si>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</si>
  <si>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</si>
  <si>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</si>
  <si>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</si>
  <si>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</si>
  <si>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</si>
  <si>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</si>
  <si>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</si>
  <si>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</si>
  <si>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</si>
  <si>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</si>
  <si>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</si>
  <si>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</si>
  <si>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</si>
  <si>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</si>
  <si>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</si>
  <si>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</si>
  <si>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</si>
  <si>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</si>
  <si>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</si>
  <si>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</si>
  <si>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</si>
  <si>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</si>
  <si>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</si>
  <si>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</si>
  <si>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</si>
  <si>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</si>
  <si>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</si>
  <si>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</si>
  <si>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</si>
  <si>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</si>
  <si>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</si>
  <si>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</si>
  <si>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</si>
  <si>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</si>
  <si>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</si>
  <si>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</si>
  <si>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</si>
  <si>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</si>
  <si>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</si>
  <si>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</si>
  <si>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</si>
  <si>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</si>
  <si>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</si>
  <si>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</si>
  <si>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</si>
  <si>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</si>
  <si>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</si>
  <si>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</si>
  <si>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</si>
  <si>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</si>
  <si>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</si>
  <si>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</si>
  <si>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</si>
  <si>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</si>
  <si>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</si>
  <si>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</si>
  <si>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</si>
  <si>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</si>
  <si>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</si>
  <si>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</si>
  <si>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</si>
  <si>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</si>
  <si>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</si>
  <si>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</si>
  <si>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</si>
  <si>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</si>
  <si>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</si>
  <si>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</si>
  <si>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</si>
  <si>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</si>
  <si>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</si>
  <si>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</si>
  <si>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</si>
  <si>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</si>
  <si>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</si>
  <si>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</si>
  <si>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</si>
  <si>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</si>
  <si>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</si>
  <si>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</si>
  <si>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</si>
  <si>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</si>
  <si>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</si>
  <si>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</si>
  <si>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</si>
  <si>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</si>
  <si>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</si>
  <si>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</si>
  <si>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</si>
  <si>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</si>
  <si>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</si>
  <si>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</si>
  <si>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</si>
  <si>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</si>
  <si>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</si>
  <si>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</si>
  <si>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</si>
  <si>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</si>
  <si>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</si>
  <si>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</si>
  <si>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</si>
  <si>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</si>
  <si>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</si>
  <si>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</si>
  <si>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</si>
  <si>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</si>
  <si>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</si>
  <si>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</si>
  <si>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</si>
  <si>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</si>
  <si>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</si>
  <si>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</si>
  <si>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</si>
  <si>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</si>
  <si>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</si>
  <si>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</si>
  <si>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</si>
  <si>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</si>
  <si>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</si>
  <si>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</si>
  <si>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</si>
  <si>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</si>
  <si>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</si>
  <si>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</si>
  <si>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</si>
  <si>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</si>
  <si>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</si>
  <si>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</si>
  <si>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</si>
  <si>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</si>
  <si>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</si>
  <si>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</si>
  <si>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</si>
  <si>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</si>
  <si>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</si>
  <si>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</si>
  <si>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</si>
  <si>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</si>
  <si>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</si>
  <si>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</si>
  <si>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</si>
  <si>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</si>
  <si>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</si>
  <si>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</si>
  <si>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</si>
  <si>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</si>
  <si>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</si>
  <si>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</si>
  <si>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</si>
  <si>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</si>
  <si>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</si>
  <si>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</si>
  <si>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</si>
  <si>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</si>
  <si>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</si>
  <si>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</si>
  <si>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</si>
  <si>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</si>
  <si>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</si>
  <si>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</si>
  <si>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</si>
  <si>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</si>
  <si>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</si>
  <si>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</si>
  <si>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</si>
  <si>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</si>
  <si>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</si>
  <si>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</si>
  <si>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</si>
  <si>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</si>
  <si>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</si>
  <si>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</si>
  <si>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</si>
  <si>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</si>
  <si>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</si>
  <si>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</si>
  <si>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</si>
  <si>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</si>
  <si>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</si>
  <si>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</si>
  <si>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</si>
  <si>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</si>
  <si>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</si>
  <si>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</si>
  <si>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</si>
  <si>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</si>
  <si>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</si>
  <si>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</si>
  <si>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</si>
  <si>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</si>
  <si>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</si>
  <si>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</si>
  <si>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</si>
  <si>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</si>
  <si>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</si>
  <si>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</si>
  <si>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</si>
  <si>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</si>
  <si>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</si>
  <si>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</si>
  <si>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</si>
  <si>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</si>
  <si>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</si>
  <si>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</si>
  <si>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</si>
  <si>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</si>
  <si>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</si>
  <si>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</si>
  <si>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</si>
  <si>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</si>
  <si>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</si>
  <si>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</si>
  <si>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</si>
  <si>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</si>
  <si>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</si>
  <si>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</si>
  <si>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</si>
  <si>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</si>
  <si>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</si>
  <si>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</si>
  <si>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</si>
  <si>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</si>
  <si>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</si>
  <si>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</si>
  <si>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</si>
  <si>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</si>
  <si>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</si>
  <si>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</si>
  <si>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</si>
  <si>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</si>
  <si>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</si>
  <si>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</si>
  <si>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</si>
  <si>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</si>
  <si>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</si>
  <si>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</si>
  <si>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</si>
  <si>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</si>
  <si>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</si>
  <si>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</si>
  <si>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</si>
  <si>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</si>
  <si>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</si>
  <si>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</si>
  <si>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</si>
  <si>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</si>
  <si>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</si>
  <si>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</si>
  <si>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</si>
  <si>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</si>
  <si>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</si>
  <si>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</si>
  <si>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</si>
  <si>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</si>
  <si>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</si>
  <si>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</si>
  <si>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</si>
  <si>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</si>
  <si>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</si>
  <si>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</si>
  <si>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</si>
  <si>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</si>
  <si>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</si>
  <si>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</si>
  <si>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</si>
  <si>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</si>
  <si>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</si>
  <si>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</si>
  <si>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</si>
  <si>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</si>
  <si>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</si>
  <si>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</si>
  <si>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</si>
  <si>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</si>
  <si>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</si>
  <si>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</si>
  <si>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</si>
  <si>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</si>
  <si>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</si>
  <si>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</si>
  <si>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</si>
  <si>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</si>
  <si>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</si>
  <si>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</si>
  <si>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</si>
  <si>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</si>
  <si>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</si>
  <si>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</si>
  <si>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</si>
  <si>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</si>
  <si>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</si>
  <si>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</si>
  <si>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</si>
  <si>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</si>
  <si>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</si>
  <si>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</si>
  <si>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</si>
  <si>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</si>
  <si>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</si>
  <si>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</si>
  <si>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</si>
  <si>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</si>
  <si>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</si>
  <si>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</si>
  <si>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</si>
  <si>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</si>
  <si>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</si>
  <si>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</si>
  <si>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</si>
  <si>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</si>
  <si>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</si>
  <si>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</si>
  <si>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</si>
  <si>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</si>
  <si>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</si>
  <si>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</si>
  <si>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</si>
  <si>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</si>
  <si>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</si>
  <si>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</si>
  <si>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</si>
  <si>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</si>
  <si>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</si>
  <si>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</si>
  <si>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</si>
  <si>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</si>
  <si>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</si>
  <si>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</si>
  <si>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</si>
  <si>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</si>
  <si>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</si>
  <si>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</si>
  <si>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</si>
  <si>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</si>
  <si>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</si>
  <si>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</si>
  <si>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</si>
  <si>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</si>
  <si>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</si>
  <si>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</si>
  <si>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</si>
  <si>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</si>
  <si>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</si>
  <si>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</si>
  <si>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</si>
  <si>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</si>
  <si>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</si>
  <si>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</si>
  <si>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</si>
  <si>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</si>
  <si>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</si>
  <si>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</si>
  <si>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</si>
  <si>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</si>
  <si>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</si>
  <si>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</si>
  <si>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</si>
  <si>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</si>
  <si>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</si>
  <si>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</si>
  <si>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</si>
  <si>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</si>
  <si>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</si>
  <si>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</si>
  <si>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</si>
  <si>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</si>
  <si>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</si>
  <si>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</si>
  <si>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</si>
  <si>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</si>
  <si>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</si>
  <si>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</si>
  <si>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</si>
  <si>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</si>
  <si>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</si>
  <si>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</si>
  <si>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</si>
  <si>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</si>
  <si>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</si>
  <si>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</si>
  <si>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</si>
  <si>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</si>
  <si>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</si>
  <si>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</si>
  <si>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</si>
  <si>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</si>
  <si>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</si>
  <si>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</si>
  <si>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</si>
  <si>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</si>
  <si>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</si>
  <si>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</si>
  <si>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</si>
  <si>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</si>
  <si>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</si>
  <si>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</si>
  <si>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</si>
  <si>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</si>
  <si>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</si>
  <si>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</si>
  <si>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</si>
  <si>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</si>
  <si>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</si>
  <si>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</si>
  <si>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</si>
  <si>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</si>
  <si>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</si>
  <si>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</si>
  <si>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</si>
  <si>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</si>
  <si>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</si>
  <si>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</si>
  <si>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</si>
  <si>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</si>
  <si>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</si>
  <si>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</si>
  <si>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</si>
  <si>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</si>
  <si>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</si>
  <si>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</si>
  <si>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</si>
  <si>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</si>
  <si>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</si>
  <si>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</si>
  <si>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</si>
  <si>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</si>
  <si>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</si>
  <si>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</si>
  <si>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</si>
  <si>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</si>
  <si>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</si>
  <si>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</si>
  <si>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</si>
  <si>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</si>
  <si>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</si>
  <si>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</si>
  <si>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</si>
  <si>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</si>
  <si>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</si>
  <si>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</si>
  <si>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</si>
  <si>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</si>
  <si>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</si>
  <si>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</si>
  <si>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</si>
  <si>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</si>
  <si>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</si>
  <si>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</si>
  <si>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</si>
  <si>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</si>
  <si>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</si>
  <si>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</si>
  <si>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</si>
  <si>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</si>
  <si>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</si>
  <si>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</si>
  <si>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</si>
  <si>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</si>
  <si>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</si>
  <si>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</si>
  <si>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</si>
  <si>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</si>
  <si>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</si>
  <si>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</si>
  <si>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</si>
  <si>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</si>
  <si>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</si>
  <si>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</si>
  <si>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</si>
  <si>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</si>
  <si>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</si>
  <si>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</si>
  <si>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</si>
  <si>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</si>
  <si>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</si>
  <si>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</si>
  <si>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</si>
  <si>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</si>
  <si>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</si>
  <si>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</si>
  <si>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</si>
  <si>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</si>
  <si>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</si>
  <si>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</si>
  <si>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</si>
  <si>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</si>
  <si>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</si>
  <si>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</si>
  <si>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</si>
  <si>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</si>
  <si>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</si>
  <si>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</si>
  <si>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</si>
  <si>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</si>
  <si>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</si>
  <si>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</si>
  <si>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</si>
  <si>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</si>
  <si>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</si>
  <si>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</si>
  <si>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</si>
  <si>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</si>
  <si>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</si>
  <si>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</si>
  <si>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</si>
  <si>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</si>
  <si>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</si>
  <si>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</si>
  <si>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</si>
  <si>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</si>
  <si>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</si>
  <si>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</si>
  <si>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</si>
  <si>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</si>
  <si>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</si>
  <si>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</si>
  <si>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</si>
  <si>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</si>
  <si>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</si>
  <si>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</si>
  <si>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</si>
  <si>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</si>
  <si>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</si>
  <si>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</si>
  <si>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</si>
  <si>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</si>
  <si>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</si>
  <si>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</si>
  <si>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</si>
  <si>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</si>
  <si>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</si>
  <si>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</si>
  <si>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</si>
  <si>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</si>
  <si>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</si>
  <si>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</si>
  <si>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</si>
  <si>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</si>
  <si>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</si>
  <si>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</si>
  <si>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</si>
  <si>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</si>
  <si>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</si>
  <si>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</si>
  <si>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</si>
  <si>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</si>
  <si>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</si>
  <si>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</si>
  <si>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</si>
  <si>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</si>
  <si>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</si>
  <si>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</si>
  <si>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</si>
  <si>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</si>
  <si>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</si>
  <si>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</si>
  <si>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</si>
  <si>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</si>
  <si>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</si>
  <si>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</si>
  <si>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</si>
  <si>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</si>
  <si>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</si>
  <si>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</si>
  <si>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</si>
  <si>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</si>
  <si>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</si>
  <si>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</si>
  <si>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</si>
  <si>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</si>
  <si>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</si>
  <si>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</si>
  <si>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</si>
  <si>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</si>
  <si>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</si>
  <si>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</si>
  <si>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</si>
  <si>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</si>
  <si>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</si>
  <si>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</si>
  <si>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</si>
  <si>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</si>
  <si>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</si>
  <si>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</si>
  <si>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</si>
  <si>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</si>
  <si>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</si>
  <si>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</si>
  <si>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</si>
  <si>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</si>
  <si>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</si>
  <si>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</si>
  <si>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</si>
  <si>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</si>
  <si>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</si>
  <si>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</si>
  <si>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</si>
  <si>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</si>
  <si>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</si>
  <si>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</si>
  <si>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</si>
  <si>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</si>
  <si>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</si>
  <si>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</si>
  <si>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</si>
  <si>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</si>
  <si>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</si>
  <si>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</si>
  <si>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</si>
  <si>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</si>
  <si>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</si>
  <si>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</si>
  <si>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</si>
  <si>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</si>
  <si>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</si>
  <si>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</si>
  <si>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</si>
  <si>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</si>
  <si>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</si>
  <si>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</si>
  <si>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</si>
  <si>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</si>
  <si>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</si>
  <si>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</si>
  <si>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</si>
  <si>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</si>
  <si>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</si>
  <si>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</si>
  <si>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</si>
  <si>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</si>
  <si>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</si>
  <si>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</si>
  <si>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</si>
  <si>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</si>
  <si>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</si>
  <si>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</si>
  <si>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</si>
  <si>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</si>
  <si>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</si>
  <si>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</si>
  <si>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</si>
  <si>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</si>
  <si>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</si>
  <si>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</si>
  <si>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</si>
  <si>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</si>
  <si>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</si>
  <si>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</si>
  <si>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</si>
  <si>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</si>
  <si>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</si>
  <si>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</si>
  <si>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</si>
  <si>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</si>
  <si>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</si>
  <si>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</si>
  <si>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</si>
  <si>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</si>
  <si>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</si>
  <si>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</si>
  <si>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</si>
  <si>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</si>
  <si>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</si>
  <si>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</si>
  <si>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</si>
  <si>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</si>
  <si>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</si>
  <si>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</si>
  <si>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</si>
  <si>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</si>
  <si>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</si>
  <si>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</si>
  <si>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</si>
  <si>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</si>
  <si>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</si>
  <si>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</si>
  <si>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</si>
  <si>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</si>
  <si>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</si>
  <si>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</si>
  <si>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</si>
  <si>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</si>
  <si>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</si>
  <si>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</si>
  <si>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</si>
  <si>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</si>
  <si>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</si>
  <si>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</si>
  <si>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</si>
  <si>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</si>
  <si>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</si>
  <si>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</si>
  <si>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</si>
  <si>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</si>
  <si>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</si>
  <si>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</si>
  <si>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</si>
  <si>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</si>
  <si>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</si>
  <si>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</si>
  <si>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</si>
  <si>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</si>
  <si>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</si>
  <si>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</si>
  <si>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</si>
  <si>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</si>
  <si>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</si>
  <si>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</si>
  <si>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</si>
  <si>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</si>
  <si>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</si>
  <si>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</si>
  <si>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</si>
  <si>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</si>
  <si>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</si>
  <si>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</si>
  <si>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</si>
  <si>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</si>
  <si>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</si>
  <si>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</si>
  <si>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</si>
  <si>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</si>
  <si>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</si>
  <si>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</si>
  <si>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</si>
  <si>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</si>
  <si>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</si>
  <si>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</si>
  <si>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</si>
  <si>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</si>
  <si>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</si>
  <si>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</si>
  <si>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</si>
  <si>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</si>
  <si>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</si>
  <si>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</si>
  <si>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</si>
  <si>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</si>
  <si>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</si>
  <si>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</si>
  <si>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</si>
  <si>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</si>
  <si>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</si>
  <si>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</si>
  <si>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</si>
  <si>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</si>
  <si>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</si>
  <si>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</si>
  <si>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</si>
  <si>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</si>
  <si>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</si>
  <si>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</si>
  <si>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</si>
  <si>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</si>
  <si>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</si>
  <si>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</si>
  <si>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</si>
  <si>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</si>
  <si>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</si>
  <si>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</si>
  <si>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</si>
  <si>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</si>
  <si>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</si>
  <si>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</si>
  <si>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</si>
  <si>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</si>
  <si>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</si>
  <si>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</si>
  <si>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</si>
  <si>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</si>
  <si>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</si>
  <si>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</si>
  <si>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</si>
  <si>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</si>
  <si>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</si>
  <si>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</si>
  <si>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</si>
  <si>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</si>
  <si>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</si>
  <si>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</si>
  <si>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</si>
  <si>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</si>
  <si>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</si>
  <si>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</si>
  <si>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</si>
  <si>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</si>
  <si>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</si>
  <si>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</si>
  <si>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</si>
  <si>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</si>
  <si>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</si>
  <si>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</si>
  <si>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</si>
  <si>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</si>
  <si>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</si>
  <si>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</si>
  <si>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</si>
  <si>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</si>
  <si>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</si>
  <si>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</si>
  <si>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</si>
  <si>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</si>
  <si>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</si>
  <si>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</si>
  <si>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</si>
  <si>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</si>
  <si>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</si>
  <si>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</si>
  <si>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</si>
  <si>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</si>
  <si>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</si>
  <si>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</si>
  <si>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</si>
  <si>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</si>
  <si>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</si>
  <si>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</si>
  <si>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</si>
  <si>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</si>
  <si>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</si>
  <si>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</si>
  <si>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</si>
  <si>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</si>
  <si>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</si>
  <si>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</si>
  <si>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</si>
  <si>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</si>
  <si>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</si>
  <si>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</si>
  <si>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</si>
  <si>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</si>
  <si>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</si>
  <si>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</si>
  <si>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</si>
  <si>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</si>
  <si>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</si>
  <si>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</si>
  <si>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</si>
  <si>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</si>
  <si>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</si>
  <si>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</si>
  <si>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</si>
  <si>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</si>
  <si>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</si>
  <si>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</si>
  <si>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</si>
  <si>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</si>
  <si>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</si>
  <si>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</si>
  <si>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</si>
  <si>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</si>
  <si>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</si>
  <si>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</si>
  <si>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</si>
  <si>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</si>
  <si>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</si>
  <si>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</si>
  <si>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</si>
  <si>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</si>
  <si>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</si>
  <si>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</si>
  <si>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</si>
  <si>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</si>
  <si>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</si>
  <si>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</si>
  <si>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</si>
  <si>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</si>
  <si>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</si>
  <si>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</si>
  <si>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</si>
  <si>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</si>
  <si>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</si>
  <si>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</si>
  <si>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</si>
  <si>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</si>
  <si>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</si>
  <si>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</si>
  <si>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</si>
  <si>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</si>
  <si>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</si>
  <si>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</si>
  <si>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</si>
  <si>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</si>
  <si>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</si>
  <si>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</si>
  <si>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</si>
  <si>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</si>
  <si>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</si>
  <si>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</si>
  <si>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</si>
  <si>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</si>
  <si>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</si>
  <si>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</si>
  <si>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</si>
  <si>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</si>
  <si>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</si>
  <si>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</si>
  <si>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</si>
  <si>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</si>
  <si>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</si>
  <si>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</si>
  <si>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</si>
  <si>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</si>
  <si>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</si>
  <si>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</si>
  <si>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</si>
  <si>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</si>
  <si>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</si>
  <si>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</si>
  <si>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</si>
  <si>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</si>
  <si>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</si>
  <si>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</si>
  <si>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</si>
  <si>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</si>
  <si>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</si>
  <si>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</si>
  <si>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</si>
  <si>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</si>
  <si>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</si>
  <si>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</si>
  <si>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</si>
  <si>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</si>
  <si>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</si>
  <si>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</si>
  <si>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</si>
  <si>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</si>
  <si>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</si>
  <si>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</si>
  <si>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</si>
  <si>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</si>
  <si>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</si>
  <si>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</si>
  <si>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</si>
  <si>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</si>
  <si>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</si>
  <si>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</si>
  <si>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</si>
  <si>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</si>
  <si>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</si>
  <si>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</si>
  <si>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</si>
  <si>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</si>
  <si>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</si>
  <si>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</si>
  <si>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</si>
  <si>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</si>
  <si>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</si>
  <si>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</si>
  <si>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</si>
  <si>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</si>
  <si>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</si>
  <si>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</si>
  <si>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</si>
  <si>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</si>
  <si>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</si>
  <si>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</si>
  <si>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</si>
  <si>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</si>
  <si>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</si>
  <si>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</si>
  <si>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</si>
  <si>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</si>
  <si>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</si>
  <si>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</si>
  <si>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</si>
  <si>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</si>
  <si>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</si>
  <si>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</si>
  <si>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</si>
  <si>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</si>
  <si>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</si>
  <si>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</si>
  <si>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</si>
  <si>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</si>
  <si>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</si>
  <si>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</si>
  <si>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</si>
  <si>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</si>
  <si>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</si>
  <si>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</si>
  <si>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</si>
  <si>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</si>
  <si>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</si>
  <si>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</si>
  <si>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</si>
  <si>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</si>
  <si>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</si>
  <si>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</si>
  <si>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</si>
  <si>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</si>
  <si>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</si>
  <si>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</si>
  <si>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</si>
  <si>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</si>
  <si>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</si>
  <si>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</si>
  <si>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</si>
  <si>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</si>
  <si>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</si>
  <si>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</si>
  <si>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</si>
  <si>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</si>
  <si>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</si>
  <si>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</si>
  <si>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</si>
  <si>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</si>
  <si>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</si>
  <si>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</si>
  <si>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</si>
  <si>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</si>
  <si>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</si>
  <si>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</si>
  <si>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</si>
  <si>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</si>
  <si>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</si>
  <si>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</si>
  <si>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</si>
  <si>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</si>
  <si>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</si>
  <si>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</si>
  <si>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</si>
  <si>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</si>
  <si>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</si>
  <si>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</si>
  <si>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</si>
  <si>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</si>
  <si>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</si>
  <si>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</si>
  <si>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</si>
  <si>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</si>
  <si>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</si>
  <si>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</si>
  <si>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</si>
  <si>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</si>
  <si>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</si>
  <si>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</si>
  <si>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</si>
  <si>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</si>
  <si>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</si>
  <si>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</si>
  <si>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</si>
  <si>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</si>
  <si>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</si>
  <si>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</si>
  <si>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</si>
  <si>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</si>
  <si>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</si>
  <si>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</si>
  <si>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</si>
  <si>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</si>
  <si>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</si>
  <si>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</si>
  <si>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</si>
  <si>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</si>
  <si>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</si>
  <si>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</si>
  <si>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</si>
  <si>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</si>
  <si>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</si>
  <si>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</si>
  <si>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</si>
  <si>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</si>
  <si>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</si>
  <si>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</si>
  <si>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</si>
  <si>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</si>
  <si>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</si>
  <si>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</si>
  <si>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</si>
  <si>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</si>
  <si>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</si>
  <si>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</si>
  <si>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</si>
  <si>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</si>
  <si>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</si>
  <si>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</si>
  <si>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</si>
  <si>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</si>
  <si>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</si>
  <si>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</si>
  <si>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</si>
  <si>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</si>
  <si>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</si>
  <si>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</si>
  <si>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</si>
  <si>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</si>
  <si>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</si>
  <si>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</si>
  <si>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</si>
  <si>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</si>
  <si>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</si>
  <si>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</si>
  <si>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</si>
  <si>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</si>
  <si>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</si>
  <si>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</si>
  <si>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</si>
  <si>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</si>
  <si>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</si>
  <si>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</si>
  <si>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</si>
  <si>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</si>
  <si>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</si>
  <si>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</si>
  <si>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</si>
  <si>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</si>
  <si>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</si>
  <si>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</si>
  <si>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</si>
  <si>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</si>
  <si>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</si>
  <si>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</si>
  <si>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</si>
  <si>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</si>
  <si>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</si>
  <si>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</si>
  <si>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</si>
  <si>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</si>
  <si>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</si>
  <si>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</si>
  <si>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</si>
  <si>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</si>
  <si>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</si>
  <si>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</si>
  <si>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</si>
  <si>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</si>
  <si>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</si>
  <si>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</si>
  <si>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</si>
  <si>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</si>
  <si>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</si>
  <si>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</si>
  <si>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</si>
  <si>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</si>
  <si>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</si>
  <si>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</si>
  <si>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</si>
  <si>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</si>
  <si>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</si>
  <si>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</si>
  <si>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</si>
  <si>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</si>
  <si>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</si>
  <si>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</si>
  <si>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</si>
  <si>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</si>
  <si>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</si>
  <si>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</si>
  <si>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</si>
  <si>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</si>
  <si>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</si>
  <si>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</si>
  <si>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</si>
  <si>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</si>
  <si>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</si>
  <si>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</si>
  <si>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</si>
  <si>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</si>
  <si>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</si>
  <si>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</si>
  <si>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</si>
  <si>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</si>
  <si>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</si>
  <si>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</si>
  <si>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</si>
  <si>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</si>
  <si>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</si>
  <si>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</si>
  <si>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</si>
  <si>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</si>
  <si>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</si>
  <si>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</si>
  <si>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</si>
  <si>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</si>
  <si>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</si>
  <si>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</si>
  <si>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</si>
  <si>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</si>
  <si>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</si>
  <si>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</si>
  <si>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</si>
  <si>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</si>
  <si>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</si>
  <si>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</si>
  <si>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</si>
  <si>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</si>
  <si>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</si>
  <si>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</si>
  <si>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</si>
  <si>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</si>
  <si>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</si>
  <si>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</si>
  <si>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</si>
  <si>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</si>
  <si>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</si>
  <si>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</si>
  <si>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</si>
  <si>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</si>
  <si>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</si>
  <si>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</si>
  <si>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</si>
  <si>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</si>
  <si>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</si>
  <si>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</si>
  <si>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</si>
  <si>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</si>
  <si>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</si>
  <si>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</si>
  <si>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</si>
  <si>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</si>
  <si>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</si>
  <si>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</si>
  <si>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</si>
  <si>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</si>
  <si>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</si>
  <si>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</si>
  <si>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</si>
  <si>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</si>
  <si>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</si>
  <si>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</si>
  <si>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</si>
  <si>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</si>
  <si>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</si>
  <si>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</si>
  <si>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</si>
  <si>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</si>
  <si>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</si>
  <si>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</si>
  <si>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</si>
  <si>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</si>
  <si>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</si>
  <si>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</si>
  <si>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</si>
  <si>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</si>
  <si>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</si>
  <si>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</si>
  <si>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</si>
  <si>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</si>
  <si>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</si>
  <si>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</si>
  <si>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</si>
  <si>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</si>
  <si>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</si>
  <si>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</si>
  <si>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</si>
  <si>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</si>
  <si>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</si>
  <si>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</si>
  <si>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</si>
  <si>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</si>
  <si>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</si>
  <si>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</si>
  <si>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</si>
  <si>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</si>
  <si>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</si>
  <si>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</si>
  <si>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</si>
  <si>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</si>
  <si>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</si>
  <si>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</si>
  <si>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</si>
  <si>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</si>
  <si>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</si>
  <si>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</si>
  <si>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</si>
  <si>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</si>
  <si>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</si>
  <si>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</si>
  <si>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</si>
  <si>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</si>
  <si>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</si>
  <si>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</si>
  <si>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</si>
  <si>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</si>
  <si>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</si>
  <si>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</si>
  <si>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</si>
  <si>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</si>
  <si>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</si>
  <si>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</si>
  <si>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</si>
  <si>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</si>
  <si>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</si>
  <si>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</si>
  <si>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</si>
  <si>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</si>
  <si>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</si>
  <si>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</si>
  <si>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</si>
  <si>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</si>
  <si>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</si>
  <si>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</si>
  <si>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</si>
  <si>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</si>
  <si>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</si>
  <si>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</si>
  <si>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</si>
  <si>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</si>
  <si>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</si>
  <si>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</si>
  <si>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</si>
  <si>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</si>
  <si>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</si>
  <si>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</si>
  <si>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</si>
  <si>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</si>
  <si>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</si>
  <si>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</si>
  <si>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</si>
  <si>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</si>
  <si>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</si>
  <si>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</si>
  <si>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</si>
  <si>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</si>
  <si>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</si>
  <si>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</si>
  <si>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</si>
  <si>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</si>
  <si>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</si>
  <si>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</si>
  <si>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</si>
  <si>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</si>
  <si>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</si>
  <si>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</si>
  <si>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</si>
  <si>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</si>
  <si>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</si>
  <si>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</si>
  <si>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</si>
  <si>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</si>
  <si>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</si>
  <si>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</si>
  <si>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</si>
  <si>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</si>
  <si>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</si>
  <si>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</si>
  <si>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</si>
  <si>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</si>
  <si>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</si>
  <si>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</si>
  <si>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</si>
  <si>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</si>
  <si>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</si>
  <si>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</si>
  <si>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</si>
  <si>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</si>
  <si>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</si>
  <si>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</si>
  <si>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</si>
  <si>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</si>
  <si>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</si>
  <si>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</si>
  <si>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</si>
  <si>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</si>
  <si>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</si>
  <si>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</si>
  <si>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</si>
  <si>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</si>
  <si>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</si>
  <si>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</si>
  <si>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</si>
  <si>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</si>
  <si>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</si>
  <si>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</si>
  <si>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</si>
  <si>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</si>
  <si>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</si>
  <si>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</si>
  <si>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</si>
  <si>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</si>
  <si>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</si>
  <si>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</si>
  <si>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</si>
  <si>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</si>
  <si>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</si>
  <si>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</si>
  <si>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</si>
  <si>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</si>
  <si>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</si>
  <si>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</si>
  <si>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</si>
  <si>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</si>
  <si>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</si>
  <si>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</si>
  <si>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</si>
  <si>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</si>
  <si>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</si>
  <si>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</si>
  <si>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</si>
  <si>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</si>
  <si>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</si>
  <si>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</si>
  <si>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</si>
  <si>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</si>
  <si>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</si>
  <si>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</si>
  <si>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</si>
  <si>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</si>
  <si>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</si>
  <si>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</si>
  <si>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</si>
  <si>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</si>
  <si>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</si>
  <si>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</si>
  <si>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</si>
  <si>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</si>
  <si>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</si>
  <si>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</si>
  <si>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</si>
  <si>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</si>
  <si>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</si>
  <si>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</si>
  <si>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</si>
  <si>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</si>
  <si>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</si>
  <si>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</si>
  <si>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</si>
  <si>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</si>
  <si>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</si>
  <si>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</si>
  <si>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</si>
  <si>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</si>
  <si>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</si>
  <si>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</si>
  <si>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</si>
  <si>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</si>
  <si>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</si>
  <si>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</si>
  <si>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</si>
  <si>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</si>
  <si>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</si>
  <si>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</si>
  <si>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</si>
  <si>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</si>
  <si>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</si>
  <si>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</si>
  <si>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</si>
  <si>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</si>
  <si>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</si>
  <si>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</si>
  <si>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</si>
  <si>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</si>
  <si>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</si>
  <si>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</si>
  <si>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</si>
  <si>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</si>
  <si>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</si>
  <si>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</si>
  <si>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</si>
  <si>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</si>
  <si>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</si>
  <si>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</si>
  <si>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</si>
  <si>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</si>
  <si>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</si>
  <si>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</si>
  <si>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</si>
  <si>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</si>
  <si>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</si>
  <si>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</si>
  <si>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</si>
  <si>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</si>
  <si>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</si>
  <si>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</si>
  <si>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</si>
  <si>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</si>
  <si>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</si>
  <si>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</si>
  <si>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</si>
  <si>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</si>
  <si>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</si>
  <si>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</si>
  <si>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</si>
  <si>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</si>
  <si>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</si>
  <si>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</si>
  <si>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</si>
  <si>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</si>
  <si>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</si>
  <si>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</si>
  <si>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</si>
  <si>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</si>
  <si>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</si>
  <si>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</si>
  <si>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</si>
  <si>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</si>
  <si>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</si>
  <si>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</si>
  <si>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</si>
  <si>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</si>
  <si>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</si>
  <si>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</si>
  <si>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</si>
  <si>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</si>
  <si>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</si>
  <si>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</si>
  <si>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</si>
  <si>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</si>
  <si>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</si>
  <si>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</si>
  <si>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</si>
  <si>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</si>
  <si>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</si>
  <si>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</si>
  <si>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</si>
  <si>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</si>
  <si>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</si>
  <si>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</si>
  <si>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</si>
  <si>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</si>
  <si>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</si>
  <si>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</si>
  <si>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</si>
  <si>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</si>
  <si>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</si>
  <si>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</si>
  <si>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</si>
  <si>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</si>
  <si>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</si>
  <si>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</si>
  <si>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</si>
  <si>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</si>
  <si>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</si>
  <si>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</si>
  <si>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</si>
  <si>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</si>
  <si>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</si>
  <si>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</si>
  <si>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</si>
  <si>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</si>
  <si>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</si>
  <si>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</si>
  <si>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</si>
  <si>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</si>
  <si>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</si>
  <si>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</si>
  <si>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</si>
  <si>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</si>
  <si>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</si>
  <si>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</si>
  <si>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</si>
  <si>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</si>
  <si>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</si>
  <si>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</si>
  <si>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</si>
  <si>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</si>
  <si>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</si>
  <si>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</si>
  <si>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</si>
  <si>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</si>
  <si>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</si>
  <si>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</si>
  <si>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</si>
  <si>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</si>
  <si>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</si>
  <si>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</si>
  <si>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</si>
  <si>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</si>
  <si>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</si>
  <si>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</si>
  <si>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</si>
  <si>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</si>
  <si>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</si>
  <si>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</si>
  <si>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</si>
  <si>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</si>
  <si>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</si>
  <si>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</si>
  <si>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</si>
  <si>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</si>
  <si>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</si>
  <si>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</si>
  <si>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</si>
  <si>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</si>
  <si>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</si>
  <si>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</si>
  <si>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</si>
  <si>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</si>
  <si>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</si>
  <si>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</si>
  <si>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</si>
  <si>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</si>
  <si>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</si>
  <si>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</si>
  <si>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</si>
  <si>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</si>
  <si>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</si>
  <si>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</si>
  <si>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</si>
  <si>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</si>
  <si>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</si>
  <si>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</si>
  <si>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</si>
  <si>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</si>
  <si>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</si>
  <si>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</si>
  <si>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</si>
  <si>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</si>
  <si>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</si>
  <si>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</si>
  <si>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</si>
  <si>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</si>
  <si>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</si>
  <si>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</si>
  <si>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</si>
  <si>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</si>
  <si>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</si>
  <si>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</si>
  <si>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</si>
  <si>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</si>
  <si>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</si>
  <si>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</si>
  <si>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</si>
  <si>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</si>
  <si>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</si>
  <si>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</si>
  <si>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</si>
  <si>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</si>
  <si>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</si>
  <si>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</si>
  <si>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</si>
  <si>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</si>
  <si>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</si>
  <si>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</si>
  <si>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</si>
  <si>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</si>
  <si>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</si>
  <si>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</si>
  <si>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</si>
  <si>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</si>
  <si>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</si>
  <si>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</si>
  <si>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</si>
  <si>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</si>
  <si>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</si>
  <si>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</si>
  <si>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</si>
  <si>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</si>
  <si>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</si>
  <si>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</si>
  <si>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</si>
  <si>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</si>
  <si>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</si>
  <si>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</si>
  <si>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</si>
  <si>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</si>
  <si>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</si>
  <si>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</si>
  <si>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</si>
  <si>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</si>
  <si>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</si>
  <si>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</si>
  <si>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</si>
  <si>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</si>
  <si>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</si>
  <si>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</si>
  <si>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</si>
  <si>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</si>
  <si>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</si>
  <si>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</si>
  <si>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</si>
  <si>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</si>
  <si>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</si>
  <si>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</si>
  <si>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</si>
  <si>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</si>
  <si>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</si>
  <si>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</si>
  <si>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</si>
  <si>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</si>
  <si>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</si>
  <si>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</si>
  <si>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</si>
  <si>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</si>
  <si>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</si>
  <si>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</si>
  <si>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</si>
  <si>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</si>
  <si>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</si>
  <si>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</si>
  <si>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</si>
  <si>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</si>
  <si>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</si>
  <si>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</si>
  <si>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</si>
  <si>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</si>
  <si>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</si>
  <si>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</si>
  <si>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</si>
  <si>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</si>
  <si>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</si>
  <si>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</si>
  <si>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</si>
  <si>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</si>
  <si>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</si>
  <si>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</si>
  <si>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</si>
  <si>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</si>
  <si>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</si>
  <si>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</si>
  <si>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</si>
  <si>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</si>
  <si>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</si>
  <si>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</si>
  <si>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</si>
  <si>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</si>
  <si>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</si>
  <si>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</si>
  <si>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</si>
  <si>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</si>
  <si>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</si>
  <si>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</si>
  <si>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</si>
  <si>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</si>
  <si>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</si>
  <si>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</si>
  <si>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</si>
  <si>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</si>
  <si>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</si>
  <si>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</si>
  <si>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</si>
  <si>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</si>
  <si>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</si>
  <si>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</si>
  <si>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</si>
  <si>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</si>
  <si>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</si>
  <si>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</si>
  <si>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</si>
  <si>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</si>
  <si>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</si>
  <si>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</si>
  <si>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</si>
  <si>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</si>
  <si>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</si>
  <si>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</si>
  <si>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</si>
  <si>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</si>
  <si>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</si>
  <si>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</si>
  <si>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</si>
  <si>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</si>
  <si>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</si>
  <si>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</si>
  <si>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</si>
  <si>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</si>
  <si>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</si>
  <si>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</si>
  <si>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</si>
  <si>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</si>
  <si>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</si>
  <si>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</si>
  <si>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</si>
  <si>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</si>
  <si>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</si>
  <si>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</si>
  <si>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</si>
  <si>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</si>
  <si>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</si>
  <si>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</si>
  <si>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</si>
  <si>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</si>
  <si>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</si>
  <si>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</si>
  <si>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</si>
  <si>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</si>
  <si>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</si>
  <si>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</si>
  <si>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</si>
  <si>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</si>
  <si>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</si>
  <si>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</si>
  <si>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</si>
  <si>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</si>
  <si>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</si>
  <si>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</si>
  <si>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</si>
  <si>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</si>
  <si>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</si>
  <si>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</si>
  <si>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</si>
  <si>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</si>
  <si>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</si>
  <si>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</si>
  <si>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</si>
  <si>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</si>
  <si>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</si>
  <si>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</si>
  <si>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</si>
  <si>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</si>
  <si>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</si>
  <si>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</si>
  <si>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</si>
  <si>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</si>
  <si>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</si>
  <si>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</si>
  <si>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</si>
  <si>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</si>
  <si>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</si>
  <si>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</si>
  <si>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</si>
  <si>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</si>
  <si>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</si>
  <si>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</si>
  <si>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</si>
  <si>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</si>
  <si>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</si>
  <si>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</si>
  <si>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</si>
  <si>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</si>
  <si>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</si>
  <si>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</si>
  <si>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</si>
  <si>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</si>
  <si>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</si>
  <si>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</si>
  <si>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</si>
  <si>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</si>
  <si>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</si>
  <si>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</si>
  <si>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</si>
  <si>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</si>
  <si>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</si>
  <si>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</si>
  <si>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</si>
  <si>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</si>
  <si>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</si>
  <si>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</si>
  <si>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</si>
  <si>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</si>
  <si>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</si>
  <si>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</si>
  <si>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</si>
  <si>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</si>
  <si>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</si>
  <si>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</si>
  <si>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</si>
  <si>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</si>
  <si>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</si>
  <si>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</si>
  <si>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</si>
  <si>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</si>
  <si>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</si>
  <si>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</si>
  <si>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</si>
  <si>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</si>
  <si>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</si>
  <si>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</si>
  <si>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</si>
  <si>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</si>
  <si>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</si>
  <si>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</si>
  <si>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</si>
  <si>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</si>
  <si>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</si>
  <si>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</si>
  <si>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</si>
  <si>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</si>
  <si>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</si>
  <si>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</si>
  <si>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</si>
  <si>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</si>
  <si>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</si>
  <si>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</si>
  <si>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</si>
  <si>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</si>
  <si>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</si>
  <si>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</si>
  <si>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</si>
  <si>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</si>
  <si>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</si>
  <si>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</si>
  <si>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</si>
  <si>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</si>
  <si>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</si>
  <si>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</si>
  <si>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</si>
  <si>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</si>
  <si>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</si>
  <si>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</si>
  <si>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</si>
  <si>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</si>
  <si>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</si>
  <si>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</si>
  <si>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</si>
  <si>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</si>
  <si>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</si>
  <si>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</si>
  <si>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</si>
  <si>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</si>
  <si>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</si>
  <si>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</si>
  <si>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</si>
  <si>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</si>
  <si>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</si>
  <si>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</si>
  <si>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</si>
  <si>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</si>
  <si>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</si>
  <si>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</si>
  <si>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</si>
  <si>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</si>
  <si>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</si>
  <si>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</si>
  <si>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</si>
  <si>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</si>
  <si>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</si>
  <si>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</si>
  <si>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</si>
  <si>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</si>
  <si>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</si>
  <si>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</si>
  <si>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</si>
  <si>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</si>
  <si>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</si>
  <si>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</si>
  <si>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</si>
  <si>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</si>
  <si>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</si>
  <si>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</si>
  <si>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</si>
  <si>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</si>
  <si>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</si>
  <si>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</si>
  <si>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</si>
  <si>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</si>
  <si>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</si>
  <si>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</si>
  <si>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</si>
  <si>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</si>
  <si>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</si>
  <si>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</si>
  <si>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</si>
  <si>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</si>
  <si>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</si>
  <si>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</si>
  <si>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</si>
  <si>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</si>
  <si>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</si>
  <si>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</si>
  <si>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</si>
  <si>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</si>
  <si>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</si>
  <si>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</si>
  <si>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</si>
  <si>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</si>
  <si>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</si>
  <si>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</si>
  <si>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</si>
  <si>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</si>
  <si>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</si>
  <si>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</si>
  <si>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</si>
  <si>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</si>
  <si>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</si>
  <si>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</si>
  <si>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</si>
  <si>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</si>
  <si>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</si>
  <si>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</si>
  <si>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</si>
  <si>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</si>
  <si>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</si>
  <si>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</si>
  <si>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</si>
  <si>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</si>
  <si>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</si>
  <si>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</si>
  <si>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</si>
  <si>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</si>
  <si>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</si>
  <si>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</si>
  <si>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</si>
  <si>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</si>
  <si>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</si>
  <si>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</si>
  <si>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</si>
  <si>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</si>
  <si>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</si>
  <si>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</si>
  <si>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</si>
  <si>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</si>
  <si>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</si>
  <si>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</si>
  <si>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</si>
  <si>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</si>
  <si>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</si>
  <si>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</si>
  <si>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</si>
  <si>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</si>
  <si>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</si>
  <si>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</si>
  <si>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</si>
  <si>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</si>
  <si>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</si>
  <si>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</si>
  <si>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</si>
  <si>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</si>
  <si>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</si>
  <si>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</si>
  <si>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</si>
  <si>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</si>
  <si>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</si>
  <si>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</si>
  <si>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</si>
  <si>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</si>
  <si>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</si>
  <si>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</si>
  <si>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</si>
  <si>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</si>
  <si>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</si>
  <si>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</si>
  <si>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</si>
  <si>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</si>
  <si>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</si>
  <si>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</si>
  <si>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</si>
  <si>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</si>
  <si>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</si>
  <si>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</si>
  <si>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</si>
  <si>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</si>
  <si>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</si>
  <si>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</si>
  <si>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</si>
  <si>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</si>
  <si>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</si>
  <si>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</si>
  <si>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</si>
  <si>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</si>
  <si>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</si>
  <si>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</si>
  <si>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</si>
  <si>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</si>
  <si>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</si>
  <si>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</si>
  <si>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</si>
  <si>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</si>
  <si>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</si>
  <si>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</si>
  <si>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</si>
  <si>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</si>
  <si>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</si>
  <si>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</si>
  <si>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</si>
  <si>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</si>
  <si>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</si>
  <si>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</si>
  <si>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</si>
  <si>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</si>
  <si>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</si>
  <si>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</si>
  <si>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</si>
  <si>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</si>
  <si>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</si>
  <si>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</si>
  <si>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</si>
  <si>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</si>
  <si>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</si>
  <si>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</si>
  <si>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</si>
  <si>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</si>
  <si>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</si>
  <si>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</si>
  <si>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</si>
  <si>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</si>
  <si>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</si>
  <si>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</si>
  <si>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</si>
  <si>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</si>
  <si>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</si>
  <si>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</si>
  <si>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</si>
  <si>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</si>
  <si>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</si>
  <si>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</si>
  <si>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</si>
  <si>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</si>
  <si>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</si>
  <si>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</si>
  <si>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</si>
  <si>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</si>
  <si>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</si>
  <si>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</si>
  <si>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</si>
  <si>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</si>
  <si>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</si>
  <si>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</si>
  <si>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</si>
  <si>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</si>
  <si>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</si>
  <si>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</si>
  <si>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</si>
  <si>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</si>
  <si>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</si>
  <si>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</si>
  <si>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</si>
  <si>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</si>
  <si>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</si>
  <si>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</si>
  <si>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</si>
  <si>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</si>
  <si>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</si>
  <si>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</si>
  <si>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</si>
  <si>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</si>
  <si>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</si>
  <si>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</si>
  <si>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</si>
  <si>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</si>
  <si>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</si>
  <si>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</si>
  <si>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</si>
  <si>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</si>
  <si>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</si>
  <si>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</si>
  <si>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</si>
  <si>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</si>
  <si>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</si>
  <si>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</si>
  <si>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</si>
  <si>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</si>
  <si>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</si>
  <si>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</si>
  <si>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</si>
  <si>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</si>
  <si>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</si>
  <si>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</si>
  <si>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</si>
  <si>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</si>
  <si>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</si>
  <si>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</si>
  <si>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</si>
  <si>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</si>
  <si>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</si>
  <si>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</si>
  <si>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</si>
  <si>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</si>
  <si>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</si>
  <si>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</si>
  <si>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</si>
  <si>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</si>
  <si>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</si>
  <si>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</si>
  <si>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</si>
  <si>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</si>
  <si>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</si>
  <si>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</si>
  <si>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</si>
  <si>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</si>
  <si>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</si>
  <si>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</si>
  <si>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</si>
  <si>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</si>
  <si>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</si>
  <si>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</si>
  <si>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</si>
  <si>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</si>
  <si>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</si>
  <si>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</si>
  <si>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</si>
  <si>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</si>
  <si>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</si>
  <si>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</si>
  <si>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</si>
  <si>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</si>
  <si>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</si>
  <si>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</si>
  <si>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</si>
  <si>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</si>
  <si>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</si>
  <si>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</si>
  <si>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</si>
  <si>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</si>
  <si>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</si>
  <si>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</si>
  <si>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</si>
  <si>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</si>
  <si>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</si>
  <si>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</si>
  <si>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</si>
  <si>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</si>
  <si>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</si>
  <si>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</si>
  <si>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</si>
  <si>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</si>
  <si>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</si>
  <si>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</si>
  <si>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</si>
  <si>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</si>
  <si>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</si>
  <si>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</si>
  <si>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</si>
  <si>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</si>
  <si>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</si>
  <si>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</si>
  <si>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</si>
  <si>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</si>
  <si>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</si>
  <si>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</si>
  <si>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</si>
  <si>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</si>
  <si>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</si>
  <si>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</si>
  <si>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</si>
  <si>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</si>
  <si>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</si>
  <si>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</si>
  <si>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</si>
  <si>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</si>
  <si>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</si>
  <si>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</si>
  <si>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</si>
  <si>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</si>
  <si>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</si>
  <si>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</si>
  <si>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</si>
  <si>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</si>
  <si>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</si>
  <si>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</si>
  <si>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</si>
  <si>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</si>
  <si>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</si>
  <si>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</si>
  <si>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</si>
  <si>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</si>
  <si>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</si>
  <si>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</si>
  <si>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</si>
  <si>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</si>
  <si>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</si>
  <si>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</si>
  <si>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</si>
  <si>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</si>
  <si>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</si>
  <si>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</si>
  <si>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</si>
  <si>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</si>
  <si>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</si>
  <si>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</si>
  <si>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</si>
  <si>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</si>
  <si>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</si>
  <si>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</si>
  <si>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</si>
  <si>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</si>
  <si>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</si>
  <si>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</si>
  <si>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</si>
  <si>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</si>
  <si>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</si>
  <si>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</si>
  <si>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</si>
  <si>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</si>
  <si>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</si>
  <si>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</si>
  <si>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</si>
  <si>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</si>
  <si>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</si>
  <si>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</si>
  <si>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</si>
  <si>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</si>
  <si>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</si>
  <si>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</si>
  <si>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</si>
  <si>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</si>
  <si>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</si>
  <si>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</si>
  <si>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</si>
  <si>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</si>
  <si>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</si>
  <si>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</si>
  <si>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</si>
  <si>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</si>
  <si>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</si>
  <si>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</si>
  <si>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</si>
  <si>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</si>
  <si>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</si>
  <si>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</si>
  <si>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</si>
  <si>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</si>
  <si>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</si>
  <si>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</si>
  <si>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</si>
  <si>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</si>
  <si>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</si>
  <si>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</si>
  <si>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</si>
  <si>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</si>
  <si>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</si>
  <si>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</si>
  <si>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</si>
  <si>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</si>
  <si>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</si>
  <si>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</si>
  <si>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</si>
  <si>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</si>
  <si>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</si>
  <si>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</si>
  <si>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</si>
  <si>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</si>
  <si>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</si>
  <si>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</si>
  <si>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</si>
  <si>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</si>
  <si>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</si>
  <si>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</si>
  <si>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</si>
  <si>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</si>
  <si>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</si>
  <si>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</si>
  <si>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</si>
  <si>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</si>
  <si>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</si>
  <si>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</si>
  <si>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</si>
  <si>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</si>
  <si>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</si>
  <si>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</si>
  <si>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</si>
  <si>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</si>
  <si>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</si>
  <si>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</si>
  <si>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</si>
  <si>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</si>
  <si>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</si>
  <si>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</si>
  <si>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</si>
  <si>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</si>
  <si>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</si>
  <si>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</si>
  <si>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</si>
  <si>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</si>
  <si>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</si>
  <si>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</si>
  <si>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</si>
  <si>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</si>
  <si>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</si>
  <si>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</si>
  <si>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</si>
  <si>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</si>
  <si>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</si>
  <si>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</si>
  <si>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</si>
  <si>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</si>
  <si>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</si>
  <si>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</si>
  <si>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</si>
  <si>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</si>
  <si>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</si>
  <si>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</si>
  <si>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</si>
  <si>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</si>
  <si>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</si>
  <si>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</si>
  <si>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</si>
  <si>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</si>
  <si>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</si>
  <si>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</si>
  <si>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</si>
  <si>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</si>
  <si>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</si>
  <si>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</si>
  <si>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</si>
  <si>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</si>
  <si>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</si>
  <si>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</si>
  <si>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</si>
  <si>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</si>
  <si>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</si>
  <si>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</si>
  <si>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</si>
  <si>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</si>
  <si>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</si>
  <si>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</si>
  <si>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</si>
  <si>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</si>
  <si>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</si>
  <si>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</si>
  <si>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</si>
  <si>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</si>
  <si>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</si>
  <si>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</si>
  <si>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</si>
  <si>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</si>
  <si>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</si>
  <si>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</si>
  <si>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</si>
  <si>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</si>
  <si>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</si>
  <si>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</si>
  <si>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</si>
  <si>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</si>
  <si>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</si>
  <si>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</si>
  <si>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</si>
  <si>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</si>
  <si>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</si>
  <si>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</si>
  <si>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</si>
  <si>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</si>
  <si>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</si>
  <si>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</si>
  <si>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</si>
  <si>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</si>
  <si>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</si>
  <si>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</si>
  <si>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</si>
  <si>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</si>
  <si>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</si>
  <si>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</si>
  <si>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</si>
  <si>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</si>
  <si>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</si>
  <si>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</si>
  <si>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</si>
  <si>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</si>
  <si>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</si>
  <si>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</si>
  <si>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</si>
  <si>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</si>
  <si>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</si>
  <si>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</si>
  <si>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</si>
  <si>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</si>
  <si>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</si>
  <si>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</si>
  <si>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</si>
  <si>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</si>
  <si>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</si>
  <si>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</si>
  <si>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</si>
  <si>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</si>
  <si>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</si>
  <si>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</si>
  <si>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</si>
  <si>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</si>
  <si>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</si>
  <si>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</si>
  <si>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</si>
  <si>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</si>
  <si>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</si>
  <si>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</si>
  <si>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</si>
  <si>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</si>
  <si>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</si>
  <si>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</si>
  <si>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</si>
  <si>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</si>
  <si>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</si>
  <si>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</si>
  <si>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</si>
  <si>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</si>
  <si>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</si>
  <si>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</si>
  <si>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</si>
  <si>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</si>
  <si>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</si>
  <si>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</si>
  <si>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</si>
  <si>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</si>
  <si>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</si>
  <si>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</si>
  <si>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</si>
  <si>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</si>
  <si>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</si>
  <si>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</si>
  <si>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</si>
  <si>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</si>
  <si>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</si>
  <si>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</si>
  <si>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</si>
  <si>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</si>
  <si>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</si>
  <si>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</si>
  <si>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</si>
  <si>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</si>
  <si>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</si>
  <si>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</si>
  <si>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</si>
  <si>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</si>
  <si>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</si>
  <si>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</si>
  <si>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</si>
  <si>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</si>
  <si>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</si>
  <si>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</si>
  <si>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</si>
  <si>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</si>
  <si>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</si>
  <si>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</si>
  <si>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</si>
  <si>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</si>
  <si>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</si>
  <si>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</si>
  <si>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</si>
  <si>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</si>
  <si>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</si>
  <si>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</si>
  <si>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</si>
  <si>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</si>
  <si>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</si>
  <si>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</si>
  <si>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</si>
  <si>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</si>
  <si>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</si>
  <si>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</si>
  <si>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</si>
  <si>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</si>
  <si>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</si>
  <si>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</si>
  <si>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</si>
  <si>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</si>
  <si>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</si>
  <si>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</si>
  <si>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</si>
  <si>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</si>
  <si>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</si>
  <si>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</si>
  <si>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</si>
  <si>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</si>
  <si>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</si>
  <si>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</si>
  <si>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</si>
  <si>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</si>
  <si>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</si>
  <si>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</si>
  <si>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</si>
  <si>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</si>
  <si>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</si>
  <si>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</si>
  <si>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</si>
  <si>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</si>
  <si>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</si>
  <si>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</si>
  <si>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</si>
  <si>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</si>
  <si>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</si>
  <si>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</si>
  <si>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</si>
  <si>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</si>
  <si>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</si>
  <si>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</si>
  <si>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</si>
  <si>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</si>
  <si>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</si>
  <si>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</si>
  <si>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</si>
  <si>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</si>
  <si>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</si>
  <si>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</si>
  <si>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</si>
  <si>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</si>
  <si>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</si>
  <si>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</si>
  <si>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</si>
  <si>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</si>
  <si>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</si>
  <si>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</si>
  <si>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</si>
  <si>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</si>
  <si>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</si>
  <si>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</si>
  <si>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</si>
  <si>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</si>
  <si>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</si>
  <si>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</si>
  <si>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</si>
  <si>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</si>
  <si>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</si>
  <si>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</si>
  <si>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</si>
  <si>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</si>
  <si>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</si>
  <si>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</si>
  <si>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</si>
  <si>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</si>
  <si>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</si>
  <si>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</si>
  <si>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</si>
  <si>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</si>
  <si>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</si>
  <si>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</si>
  <si>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</si>
  <si>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</si>
  <si>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</si>
  <si>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</si>
  <si>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</si>
  <si>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</si>
  <si>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</si>
  <si>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</si>
  <si>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</si>
  <si>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</si>
  <si>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</si>
  <si>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</si>
  <si>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</si>
  <si>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</si>
  <si>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</si>
  <si>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</si>
  <si>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</si>
  <si>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</si>
  <si>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</si>
  <si>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</si>
  <si>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</si>
  <si>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</si>
  <si>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</si>
  <si>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</si>
  <si>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</si>
  <si>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</si>
  <si>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</si>
  <si>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</si>
  <si>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</si>
  <si>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</si>
  <si>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</si>
  <si>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</si>
  <si>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</si>
  <si>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</si>
  <si>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</si>
  <si>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</si>
  <si>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</si>
  <si>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</si>
  <si>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</si>
  <si>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</si>
  <si>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</si>
  <si>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</si>
  <si>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</si>
  <si>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</si>
  <si>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</si>
  <si>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</si>
  <si>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</si>
  <si>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</si>
  <si>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</si>
  <si>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</si>
  <si>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</si>
  <si>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</si>
  <si>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</si>
  <si>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</si>
  <si>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</si>
  <si>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</si>
  <si>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</si>
  <si>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</si>
  <si>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</si>
  <si>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</si>
  <si>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</si>
  <si>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</si>
  <si>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</si>
  <si>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</si>
  <si>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</si>
  <si>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</si>
  <si>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</si>
  <si>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</si>
  <si>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</si>
  <si>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</si>
  <si>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</si>
  <si>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</si>
  <si>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</si>
  <si>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</si>
  <si>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</si>
  <si>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</si>
  <si>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</si>
  <si>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</si>
  <si>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</si>
  <si>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</si>
  <si>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</si>
  <si>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</si>
  <si>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</si>
  <si>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</si>
  <si>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</si>
  <si>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</si>
  <si>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</si>
  <si>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</si>
  <si>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</si>
  <si>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</si>
  <si>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</si>
  <si>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</si>
  <si>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</si>
  <si>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</si>
  <si>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</si>
  <si>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</si>
  <si>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</si>
  <si>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</si>
  <si>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</si>
  <si>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</si>
  <si>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</si>
  <si>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</si>
  <si>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</si>
  <si>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</si>
  <si>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</si>
  <si>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</si>
  <si>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</si>
  <si>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</si>
  <si>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</si>
  <si>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</si>
  <si>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</si>
  <si>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</si>
  <si>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</si>
  <si>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</si>
  <si>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</si>
  <si>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</si>
  <si>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</si>
  <si>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</si>
  <si>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</si>
  <si>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</si>
  <si>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</si>
  <si>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</si>
  <si>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</si>
  <si>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</si>
  <si>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</si>
  <si>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</si>
  <si>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</si>
  <si>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</si>
  <si>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</si>
  <si>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</si>
  <si>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</si>
  <si>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</si>
  <si>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</si>
  <si>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</si>
  <si>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</si>
  <si>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</si>
  <si>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</si>
  <si>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</si>
  <si>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</si>
  <si>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</si>
  <si>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</si>
  <si>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</si>
  <si>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</si>
  <si>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</si>
  <si>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</si>
  <si>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</si>
  <si>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</si>
  <si>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</si>
  <si>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</si>
  <si>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</si>
  <si>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</si>
  <si>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</si>
  <si>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</si>
  <si>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</si>
  <si>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</si>
  <si>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</si>
  <si>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</si>
  <si>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</si>
  <si>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</si>
  <si>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</si>
  <si>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</si>
  <si>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</si>
  <si>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</si>
  <si>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</si>
  <si>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</si>
  <si>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</si>
  <si>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</si>
  <si>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</si>
  <si>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</si>
  <si>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</si>
  <si>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</si>
  <si>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</si>
  <si>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</si>
  <si>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</si>
  <si>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</si>
  <si>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</si>
  <si>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</si>
  <si>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</si>
  <si>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</si>
  <si>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</si>
  <si>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</si>
  <si>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</si>
  <si>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</si>
  <si>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</si>
  <si>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</si>
  <si>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</si>
  <si>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</si>
  <si>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</si>
  <si>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</si>
  <si>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</si>
  <si>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</si>
  <si>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</si>
  <si>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</si>
  <si>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</si>
  <si>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</si>
  <si>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</si>
  <si>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</si>
  <si>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</si>
  <si>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</si>
  <si>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</si>
  <si>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</si>
  <si>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</si>
  <si>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</si>
  <si>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</si>
  <si>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</si>
  <si>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</si>
  <si>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</si>
  <si>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</si>
  <si>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</si>
  <si>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</si>
  <si>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</si>
  <si>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</si>
  <si>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</si>
  <si>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</si>
  <si>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</si>
  <si>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</si>
  <si>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</si>
  <si>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</si>
  <si>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</si>
  <si>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</si>
  <si>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</si>
  <si>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</si>
  <si>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</si>
  <si>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</si>
  <si>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</si>
  <si>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</si>
  <si>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</si>
  <si>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</si>
  <si>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</si>
  <si>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</si>
  <si>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</si>
  <si>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</si>
  <si>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</si>
  <si>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</si>
  <si>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</si>
  <si>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</si>
  <si>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</si>
  <si>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</si>
  <si>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</si>
  <si>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</si>
  <si>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</si>
  <si>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</si>
  <si>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</si>
  <si>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</si>
  <si>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</si>
  <si>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</si>
  <si>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</si>
  <si>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</si>
  <si>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</si>
  <si>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</si>
  <si>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</si>
  <si>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</si>
  <si>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</si>
  <si>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</si>
  <si>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</si>
  <si>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</si>
  <si>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</si>
  <si>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</si>
  <si>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</si>
  <si>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</si>
  <si>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</si>
  <si>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</si>
  <si>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</si>
  <si>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</si>
  <si>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</si>
  <si>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</si>
  <si>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</si>
  <si>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</si>
  <si>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</si>
  <si>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</si>
  <si>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</si>
  <si>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</si>
  <si>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</si>
  <si>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</si>
  <si>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</si>
  <si>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</si>
  <si>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</si>
  <si>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</si>
  <si>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</si>
  <si>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</si>
  <si>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</si>
  <si>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</si>
  <si>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</si>
  <si>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</si>
  <si>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</si>
  <si>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</si>
  <si>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</si>
  <si>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</si>
  <si>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</si>
  <si>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</si>
  <si>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</si>
  <si>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</si>
  <si>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</si>
  <si>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</si>
  <si>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</si>
  <si>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</si>
  <si>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</si>
  <si>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</si>
  <si>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</si>
  <si>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</si>
  <si>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</si>
  <si>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</si>
  <si>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</si>
  <si>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</si>
  <si>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</si>
  <si>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</si>
  <si>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</si>
  <si>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</si>
  <si>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</si>
  <si>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</si>
  <si>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</si>
  <si>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</si>
  <si>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</si>
  <si>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</si>
  <si>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</si>
  <si>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</si>
  <si>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</si>
  <si>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</si>
  <si>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</si>
  <si>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</si>
  <si>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</si>
  <si>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</si>
  <si>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</si>
  <si>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</si>
  <si>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</si>
  <si>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</si>
  <si>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</si>
  <si>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</si>
  <si>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</si>
  <si>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</si>
  <si>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</si>
  <si>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</si>
  <si>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</si>
  <si>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</si>
  <si>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</si>
  <si>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</si>
  <si>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</si>
  <si>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</si>
  <si>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</si>
  <si>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</si>
  <si>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</si>
  <si>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</si>
  <si>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</si>
  <si>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</si>
  <si>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</si>
  <si>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</si>
  <si>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</si>
  <si>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</si>
  <si>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</si>
  <si>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</si>
  <si>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</si>
  <si>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</si>
  <si>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</si>
  <si>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</si>
  <si>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</si>
  <si>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</si>
  <si>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</si>
  <si>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</si>
  <si>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</si>
  <si>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</si>
  <si>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</si>
  <si>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</si>
  <si>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</si>
  <si>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</si>
  <si>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</si>
  <si>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</si>
  <si>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</si>
  <si>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</si>
  <si>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</si>
  <si>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</si>
  <si>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</si>
  <si>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</si>
  <si>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</si>
  <si>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</si>
  <si>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</si>
  <si>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</si>
  <si>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</si>
  <si>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</si>
  <si>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</si>
  <si>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</si>
  <si>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</si>
  <si>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</si>
  <si>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</si>
  <si>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</si>
  <si>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</si>
  <si>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</si>
  <si>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</si>
  <si>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</si>
  <si>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</si>
  <si>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</si>
  <si>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</si>
  <si>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</si>
  <si>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</si>
  <si>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</si>
  <si>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</si>
  <si>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</si>
  <si>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</si>
  <si>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</si>
  <si>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</si>
  <si>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</si>
  <si>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</si>
  <si>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</si>
  <si>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</si>
  <si>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</si>
  <si>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</si>
  <si>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</si>
  <si>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</si>
  <si>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</si>
  <si>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</si>
  <si>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</si>
  <si>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</si>
  <si>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</si>
  <si>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</si>
  <si>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</si>
  <si>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</si>
  <si>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</si>
  <si>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</si>
  <si>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</si>
  <si>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</si>
  <si>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</si>
  <si>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</si>
  <si>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</si>
  <si>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</si>
  <si>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</si>
  <si>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</si>
  <si>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</si>
  <si>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</si>
  <si>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</si>
  <si>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</si>
  <si>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</si>
  <si>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</si>
  <si>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</si>
  <si>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</si>
  <si>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</si>
  <si>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</si>
  <si>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</si>
  <si>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</si>
  <si>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</si>
  <si>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</si>
  <si>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</si>
  <si>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</si>
  <si>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</si>
  <si>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</si>
  <si>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</si>
  <si>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</si>
  <si>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</si>
  <si>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</si>
  <si>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</si>
  <si>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</si>
  <si>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</si>
  <si>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</si>
  <si>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</si>
  <si>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</si>
  <si>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</si>
  <si>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</si>
  <si>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</si>
  <si>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</si>
  <si>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</si>
  <si>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</si>
  <si>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</si>
  <si>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</si>
  <si>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</si>
  <si>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</si>
  <si>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</si>
  <si>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</si>
  <si>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</si>
  <si>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</si>
  <si>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</si>
  <si>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</si>
  <si>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</si>
  <si>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</si>
  <si>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</si>
  <si>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</si>
  <si>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</si>
  <si>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</si>
  <si>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</si>
  <si>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</si>
  <si>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</si>
  <si>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</si>
  <si>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</si>
  <si>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</si>
  <si>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</si>
  <si>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</si>
  <si>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</si>
  <si>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</si>
  <si>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</si>
  <si>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</si>
  <si>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</si>
  <si>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</si>
  <si>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</si>
  <si>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</si>
  <si>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</si>
  <si>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</si>
  <si>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</si>
  <si>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</si>
  <si>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</si>
  <si>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</si>
  <si>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</si>
  <si>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</si>
  <si>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</si>
  <si>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</si>
  <si>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</si>
  <si>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</si>
  <si>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</si>
  <si>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</si>
  <si>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</si>
  <si>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</si>
  <si>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</si>
  <si>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</si>
  <si>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</si>
  <si>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</si>
  <si>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</si>
  <si>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</si>
  <si>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</si>
  <si>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</si>
  <si>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</si>
  <si>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</si>
  <si>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</si>
  <si>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</si>
  <si>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</si>
  <si>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</si>
  <si>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</si>
  <si>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</si>
  <si>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</si>
  <si>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</si>
  <si>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</si>
  <si>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</si>
  <si>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</si>
  <si>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</si>
  <si>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</si>
  <si>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</si>
  <si>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</si>
  <si>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</si>
  <si>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</si>
  <si>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</si>
  <si>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</si>
  <si>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</si>
  <si>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</si>
  <si>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</si>
  <si>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</si>
  <si>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</si>
  <si>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</si>
  <si>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</si>
  <si>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</si>
  <si>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</si>
  <si>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</si>
  <si>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</si>
  <si>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</si>
  <si>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</si>
  <si>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</si>
  <si>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</si>
  <si>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</si>
  <si>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</si>
  <si>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</si>
  <si>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</si>
  <si>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</si>
  <si>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</si>
  <si>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</si>
  <si>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</si>
  <si>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</si>
  <si>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</si>
  <si>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</si>
  <si>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</si>
  <si>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</si>
  <si>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</si>
  <si>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</si>
  <si>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</si>
  <si>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</si>
  <si>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</si>
  <si>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</si>
  <si>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</si>
  <si>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</si>
  <si>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</si>
  <si>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</si>
  <si>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</si>
  <si>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</si>
  <si>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</si>
  <si>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</si>
  <si>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</si>
  <si>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</si>
  <si>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</si>
  <si>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</si>
  <si>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</si>
  <si>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</si>
  <si>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</si>
  <si>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</si>
  <si>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</si>
  <si>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</si>
  <si>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</si>
  <si>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</si>
  <si>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</si>
  <si>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</si>
  <si>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</si>
  <si>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</si>
  <si>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</si>
  <si>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</si>
  <si>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</si>
  <si>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</si>
  <si>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</si>
  <si>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</si>
  <si>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</si>
  <si>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</si>
  <si>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</si>
  <si>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</si>
  <si>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</si>
  <si>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</si>
  <si>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</si>
  <si>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</si>
  <si>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</si>
  <si>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</si>
  <si>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</si>
  <si>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</si>
  <si>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</si>
  <si>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</si>
  <si>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</si>
  <si>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</si>
  <si>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</si>
  <si>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</si>
  <si>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</si>
  <si>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</si>
  <si>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</si>
  <si>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</si>
  <si>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</si>
  <si>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</si>
  <si>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</si>
  <si>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</si>
  <si>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</si>
  <si>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</si>
  <si>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</si>
  <si>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</si>
  <si>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</si>
  <si>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</si>
  <si>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</si>
  <si>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</si>
  <si>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</si>
  <si>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</si>
  <si>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</si>
  <si>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</si>
  <si>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</si>
  <si>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</si>
  <si>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</si>
  <si>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</si>
  <si>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</si>
  <si>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</si>
  <si>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</si>
  <si>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</si>
  <si>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</si>
  <si>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</si>
  <si>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</si>
  <si>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</si>
  <si>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</si>
  <si>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</si>
  <si>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</si>
  <si>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</si>
  <si>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</si>
  <si>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</si>
  <si>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</si>
  <si>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</si>
  <si>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</si>
  <si>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</si>
  <si>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</si>
  <si>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</si>
  <si>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</si>
  <si>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</si>
  <si>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</si>
  <si>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</si>
  <si>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</si>
  <si>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</si>
  <si>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</si>
  <si>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</si>
  <si>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</si>
  <si>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</si>
  <si>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</si>
  <si>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</si>
  <si>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</si>
  <si>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</si>
  <si>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</si>
  <si>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</si>
  <si>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</si>
  <si>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</si>
  <si>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</si>
  <si>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</si>
  <si>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</si>
  <si>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</si>
  <si>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</si>
  <si>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</si>
  <si>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</si>
  <si>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</si>
  <si>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</si>
  <si>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</si>
  <si>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</si>
  <si>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</si>
  <si>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</si>
  <si>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</si>
  <si>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</si>
  <si>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</si>
  <si>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</si>
  <si>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</si>
  <si>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</si>
  <si>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</si>
  <si>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</si>
  <si>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</si>
  <si>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</si>
  <si>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</si>
  <si>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</si>
  <si>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</si>
  <si>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</si>
  <si>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</si>
  <si>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</si>
  <si>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</si>
  <si>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</si>
  <si>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</si>
  <si>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</si>
  <si>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</si>
  <si>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</si>
  <si>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</si>
  <si>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</si>
  <si>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</si>
  <si>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</si>
  <si>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</si>
  <si>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</si>
  <si>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</si>
  <si>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</si>
  <si>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</si>
  <si>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</si>
  <si>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</si>
  <si>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</si>
  <si>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</si>
  <si>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</si>
  <si>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</si>
  <si>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</si>
  <si>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</si>
  <si>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</si>
  <si>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</si>
  <si>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</si>
  <si>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</si>
  <si>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</si>
  <si>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</si>
  <si>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</si>
  <si>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</si>
  <si>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</si>
  <si>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</si>
  <si>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</si>
  <si>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</si>
  <si>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</si>
  <si>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</si>
  <si>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</si>
  <si>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</si>
  <si>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</si>
  <si>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</si>
  <si>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</si>
  <si>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</si>
  <si>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</si>
  <si>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</si>
  <si>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</si>
  <si>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</si>
  <si>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</si>
  <si>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</si>
  <si>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</si>
  <si>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</si>
  <si>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</si>
  <si>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</si>
  <si>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</si>
  <si>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</si>
  <si>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</si>
  <si>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</si>
  <si>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</si>
  <si>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</si>
  <si>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</si>
  <si>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</si>
  <si>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</si>
  <si>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</si>
  <si>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</si>
  <si>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</si>
  <si>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</si>
  <si>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</si>
  <si>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</si>
  <si>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</si>
  <si>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</si>
  <si>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</si>
  <si>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</si>
  <si>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</si>
  <si>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</si>
  <si>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</si>
  <si>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</si>
  <si>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</si>
  <si>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</si>
  <si>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</si>
  <si>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</si>
  <si>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</si>
  <si>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</si>
  <si>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</si>
  <si>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</si>
  <si>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</si>
  <si>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</si>
  <si>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</si>
  <si>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</si>
  <si>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</si>
  <si>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</si>
  <si>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</si>
  <si>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</si>
  <si>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</si>
  <si>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</si>
  <si>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</si>
  <si>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</si>
  <si>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</si>
  <si>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</si>
  <si>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</si>
  <si>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</si>
  <si>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</si>
  <si>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</si>
  <si>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</si>
  <si>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</si>
  <si>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</si>
  <si>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</si>
  <si>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</si>
  <si>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</si>
  <si>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</si>
  <si>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</si>
  <si>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</si>
  <si>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</si>
  <si>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</si>
  <si>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</si>
  <si>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</si>
  <si>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</si>
  <si>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</si>
  <si>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</si>
  <si>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</si>
  <si>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</si>
  <si>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</si>
  <si>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</si>
  <si>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</si>
  <si>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</si>
  <si>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</si>
  <si>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</si>
  <si>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</si>
  <si>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</si>
  <si>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</si>
  <si>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</si>
  <si>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</si>
  <si>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</si>
  <si>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</si>
  <si>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</si>
  <si>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</si>
  <si>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</si>
  <si>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</si>
  <si>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</si>
  <si>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</si>
  <si>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</si>
  <si>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</si>
  <si>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</si>
  <si>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</si>
  <si>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</si>
  <si>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</si>
  <si>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</si>
  <si>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</si>
  <si>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</si>
  <si>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</si>
  <si>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</si>
  <si>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</si>
  <si>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</si>
  <si>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</si>
  <si>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</si>
  <si>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</si>
  <si>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</si>
  <si>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</si>
  <si>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</si>
  <si>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</si>
  <si>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</si>
  <si>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</si>
  <si>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</si>
  <si>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</si>
  <si>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</si>
  <si>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</si>
  <si>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</si>
  <si>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</si>
  <si>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</si>
  <si>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</si>
  <si>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</si>
  <si>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</si>
  <si>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</si>
  <si>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</si>
  <si>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</si>
  <si>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</si>
  <si>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</si>
  <si>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</si>
  <si>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</si>
  <si>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</si>
  <si>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</si>
  <si>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</si>
  <si>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</si>
  <si>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</si>
  <si>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</si>
  <si>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</si>
  <si>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</si>
  <si>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</si>
  <si>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</si>
  <si>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</si>
  <si>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</si>
  <si>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</si>
  <si>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</si>
  <si>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</si>
  <si>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</si>
  <si>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</si>
  <si>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</si>
  <si>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</si>
  <si>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</si>
  <si>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</si>
  <si>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</si>
  <si>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</si>
  <si>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</si>
  <si>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</si>
  <si>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</si>
  <si>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</si>
  <si>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</si>
  <si>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</si>
  <si>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</si>
  <si>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</si>
  <si>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</si>
  <si>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</si>
  <si>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</si>
  <si>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</si>
  <si>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</si>
  <si>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</si>
  <si>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</si>
  <si>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</si>
  <si>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</si>
  <si>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</si>
  <si>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</si>
  <si>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</si>
  <si>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</si>
  <si>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</si>
  <si>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</si>
  <si>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</si>
  <si>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</si>
  <si>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</si>
  <si>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</si>
  <si>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</si>
  <si>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</si>
  <si>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</si>
  <si>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</si>
  <si>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</si>
  <si>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</si>
  <si>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</si>
  <si>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</si>
  <si>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</si>
  <si>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</si>
  <si>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</si>
  <si>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</si>
  <si>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</si>
  <si>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</si>
  <si>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</si>
  <si>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</si>
  <si>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</si>
  <si>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</si>
  <si>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</si>
  <si>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</si>
  <si>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</si>
  <si>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</si>
  <si>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</si>
  <si>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</si>
  <si>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</si>
  <si>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</si>
  <si>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</si>
  <si>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</si>
  <si>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</si>
  <si>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</si>
  <si>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</si>
  <si>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</si>
  <si>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</si>
  <si>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</si>
  <si>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</si>
  <si>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</si>
  <si>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</si>
  <si>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</si>
  <si>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</si>
  <si>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</si>
  <si>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</si>
  <si>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</si>
  <si>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</si>
  <si>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</si>
  <si>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</si>
  <si>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</si>
  <si>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</si>
  <si>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</si>
  <si>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</si>
  <si>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</si>
  <si>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</si>
  <si>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</si>
  <si>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</si>
  <si>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</si>
  <si>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</si>
  <si>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</si>
  <si>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</si>
  <si>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</si>
  <si>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</si>
  <si>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</si>
  <si>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</si>
  <si>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</si>
  <si>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</si>
  <si>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</si>
  <si>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</si>
  <si>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</si>
  <si>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</si>
  <si>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</si>
  <si>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</si>
  <si>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</si>
  <si>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</si>
  <si>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</si>
  <si>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</si>
  <si>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</si>
  <si>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</si>
  <si>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</si>
  <si>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</si>
  <si>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</si>
  <si>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</si>
  <si>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</si>
  <si>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</si>
  <si>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</si>
  <si>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</si>
  <si>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</si>
  <si>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</si>
  <si>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</si>
  <si>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</si>
  <si>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</si>
  <si>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</si>
  <si>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</si>
  <si>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</si>
  <si>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</si>
  <si>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</si>
  <si>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</si>
  <si>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</si>
  <si>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</si>
  <si>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</si>
  <si>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</si>
  <si>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</si>
  <si>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</si>
  <si>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</si>
  <si>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</si>
  <si>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</si>
  <si>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</si>
  <si>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</si>
  <si>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</si>
  <si>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</si>
  <si>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</si>
  <si>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</si>
  <si>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</si>
  <si>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</si>
  <si>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</si>
  <si>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</si>
  <si>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</si>
  <si>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</si>
  <si>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</si>
  <si>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</si>
  <si>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</si>
  <si>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</si>
  <si>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</si>
  <si>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</si>
  <si>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</si>
  <si>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</si>
  <si>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</si>
  <si>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</si>
  <si>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</si>
  <si>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</si>
  <si>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</si>
  <si>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</si>
  <si>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</si>
  <si>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</si>
  <si>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</si>
  <si>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</si>
  <si>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</si>
  <si>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</si>
  <si>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</si>
  <si>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</si>
  <si>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</si>
  <si>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</si>
  <si>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</si>
  <si>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</si>
  <si>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</si>
  <si>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</si>
  <si>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</si>
  <si>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</si>
  <si>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</si>
  <si>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</si>
  <si>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</si>
  <si>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</si>
  <si>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</si>
  <si>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</si>
  <si>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</si>
  <si>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</si>
  <si>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</si>
  <si>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</si>
  <si>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</si>
  <si>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</si>
  <si>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</si>
  <si>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</si>
  <si>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</si>
  <si>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</si>
  <si>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</si>
  <si>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</si>
  <si>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</si>
  <si>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</si>
  <si>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</si>
  <si>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</si>
  <si>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</si>
  <si>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</si>
  <si>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</si>
  <si>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</si>
  <si>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</si>
  <si>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</si>
  <si>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</si>
  <si>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</si>
  <si>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</si>
  <si>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</si>
  <si>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</si>
  <si>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</si>
  <si>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</si>
  <si>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</si>
  <si>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</si>
  <si>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</si>
  <si>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</si>
  <si>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</si>
  <si>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</si>
  <si>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</si>
  <si>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</si>
  <si>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</si>
  <si>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</si>
  <si>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</si>
  <si>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</si>
  <si>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</si>
  <si>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</si>
  <si>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</si>
  <si>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</si>
  <si>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</si>
  <si>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</si>
  <si>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</si>
  <si>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</si>
  <si>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</si>
  <si>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</si>
  <si>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</si>
  <si>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</si>
  <si>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</si>
  <si>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</si>
  <si>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</si>
  <si>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</si>
  <si>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</si>
  <si>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</si>
  <si>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</si>
  <si>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</si>
  <si>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</si>
  <si>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</si>
  <si>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</si>
  <si>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</si>
  <si>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</si>
  <si>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</si>
  <si>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</si>
  <si>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</si>
  <si>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</si>
  <si>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</si>
  <si>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</si>
  <si>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</si>
  <si>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</si>
  <si>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</si>
  <si>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</si>
  <si>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</si>
  <si>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</si>
  <si>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</si>
  <si>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</si>
  <si>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</si>
  <si>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</si>
  <si>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</si>
  <si>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</si>
  <si>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</si>
  <si>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</si>
  <si>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</si>
  <si>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</si>
  <si>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</si>
  <si>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</si>
  <si>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</si>
  <si>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</si>
  <si>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</si>
  <si>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</si>
  <si>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</si>
  <si>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</si>
  <si>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</si>
  <si>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</si>
  <si>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</si>
  <si>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</si>
  <si>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</si>
  <si>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</si>
  <si>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</si>
  <si>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</si>
  <si>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</si>
  <si>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</si>
  <si>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</si>
  <si>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</si>
  <si>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</si>
  <si>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</si>
  <si>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</si>
  <si>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</si>
  <si>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</si>
  <si>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</si>
  <si>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</si>
  <si>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</si>
  <si>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</si>
  <si>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</si>
  <si>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</si>
  <si>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</si>
  <si>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</si>
  <si>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</si>
  <si>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</si>
  <si>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</si>
  <si>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</si>
  <si>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</si>
  <si>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</si>
  <si>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</si>
  <si>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</si>
  <si>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</si>
  <si>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</si>
  <si>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</si>
  <si>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</si>
  <si>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</si>
  <si>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</si>
  <si>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</si>
  <si>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</si>
  <si>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</si>
  <si>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</si>
  <si>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</si>
  <si>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</si>
  <si>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</si>
  <si>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</si>
  <si>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</si>
  <si>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</si>
  <si>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</si>
  <si>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</si>
  <si>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</si>
  <si>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</si>
  <si>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</si>
  <si>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</si>
  <si>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</si>
  <si>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</si>
  <si>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</si>
  <si>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</si>
  <si>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</si>
  <si>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</si>
  <si>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</si>
  <si>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</si>
  <si>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</si>
  <si>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</si>
  <si>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</si>
  <si>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</si>
  <si>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</si>
  <si>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</si>
  <si>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</si>
  <si>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</si>
  <si>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</si>
  <si>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</si>
  <si>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</si>
  <si>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</si>
  <si>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</si>
  <si>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</si>
  <si>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</si>
  <si>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</si>
  <si>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</si>
  <si>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</si>
  <si>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</si>
  <si>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</si>
  <si>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</si>
  <si>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</si>
  <si>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</si>
  <si>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</si>
  <si>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</si>
  <si>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</si>
  <si>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</si>
  <si>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</si>
  <si>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</si>
  <si>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</si>
  <si>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</si>
  <si>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</si>
  <si>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</si>
  <si>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</si>
  <si>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</si>
  <si>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</si>
  <si>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</si>
  <si>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</si>
  <si>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</si>
  <si>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</si>
  <si>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</si>
  <si>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</si>
  <si>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</si>
  <si>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</si>
  <si>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</si>
  <si>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</si>
  <si>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</si>
  <si>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</si>
  <si>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</si>
  <si>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</si>
  <si>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</si>
  <si>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</si>
  <si>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</si>
  <si>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</si>
  <si>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</si>
  <si>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</si>
  <si>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</si>
  <si>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</si>
  <si>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</si>
  <si>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</si>
  <si>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</si>
  <si>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</si>
  <si>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</si>
  <si>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</si>
  <si>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</si>
  <si>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</si>
  <si>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</si>
  <si>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</si>
  <si>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</si>
  <si>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</si>
  <si>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</si>
  <si>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</si>
  <si>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</si>
  <si>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</si>
  <si>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</si>
  <si>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</si>
  <si>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</si>
  <si>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</si>
  <si>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</si>
  <si>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</si>
  <si>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</si>
  <si>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</si>
  <si>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</si>
  <si>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</si>
  <si>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</si>
  <si>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</si>
  <si>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</si>
  <si>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</si>
  <si>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</si>
  <si>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</si>
  <si>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</si>
  <si>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</si>
  <si>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</si>
  <si>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</si>
  <si>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</si>
  <si>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</si>
  <si>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</si>
  <si>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</si>
  <si>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</si>
  <si>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</si>
  <si>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</si>
  <si>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</si>
  <si>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</si>
  <si>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</si>
  <si>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</si>
  <si>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</si>
  <si>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</si>
  <si>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</si>
  <si>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</si>
  <si>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</si>
  <si>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</si>
  <si>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</si>
  <si>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</si>
  <si>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</si>
  <si>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</si>
  <si>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</si>
  <si>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</si>
  <si>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</si>
  <si>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</si>
  <si>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</si>
  <si>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</si>
  <si>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</si>
  <si>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</si>
  <si>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</si>
  <si>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</si>
  <si>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</si>
  <si>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</si>
  <si>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</si>
  <si>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</si>
  <si>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</si>
  <si>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</si>
  <si>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</si>
  <si>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</si>
  <si>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</si>
  <si>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</si>
  <si>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</si>
  <si>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</si>
  <si>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</si>
  <si>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</si>
  <si>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</si>
  <si>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</si>
  <si>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</si>
  <si>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</si>
  <si>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</si>
  <si>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</si>
  <si>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</si>
  <si>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</si>
  <si>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</si>
  <si>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</si>
  <si>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</si>
  <si>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</si>
  <si>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</si>
  <si>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</si>
  <si>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</si>
  <si>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</si>
  <si>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</si>
  <si>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</si>
  <si>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</si>
  <si>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</si>
  <si>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</si>
  <si>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</si>
  <si>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</si>
  <si>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</si>
  <si>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</si>
  <si>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</si>
  <si>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</si>
  <si>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</si>
  <si>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</si>
  <si>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</si>
  <si>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</si>
  <si>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</si>
  <si>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</si>
  <si>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</si>
  <si>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</si>
  <si>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</si>
  <si>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</si>
  <si>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</si>
  <si>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</si>
  <si>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</si>
  <si>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</si>
  <si>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</si>
  <si>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</si>
  <si>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</si>
  <si>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</si>
  <si>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</si>
  <si>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</si>
  <si>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</si>
  <si>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</si>
  <si>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</si>
  <si>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</si>
  <si>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</si>
  <si>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</si>
  <si>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</si>
  <si>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</si>
  <si>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</si>
  <si>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</si>
  <si>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</si>
  <si>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</si>
  <si>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</si>
  <si>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</si>
  <si>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</si>
  <si>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</si>
  <si>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</si>
  <si>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</si>
  <si>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</si>
  <si>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</si>
  <si>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</si>
  <si>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</si>
  <si>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</si>
  <si>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</si>
  <si>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</si>
  <si>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</si>
  <si>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</si>
  <si>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</si>
  <si>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</si>
  <si>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</si>
  <si>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</si>
  <si>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</si>
  <si>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</si>
  <si>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</si>
  <si>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</si>
  <si>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</si>
  <si>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</si>
  <si>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</si>
  <si>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</si>
  <si>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</si>
  <si>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</si>
  <si>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</si>
  <si>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</si>
  <si>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</si>
  <si>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</si>
  <si>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</si>
  <si>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</si>
  <si>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</si>
  <si>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</si>
  <si>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</si>
  <si>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</si>
  <si>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</si>
  <si>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</si>
  <si>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</si>
  <si>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</si>
  <si>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</si>
  <si>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</si>
  <si>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</si>
  <si>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</si>
  <si>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</si>
  <si>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</si>
  <si>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</si>
  <si>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</si>
  <si>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</si>
  <si>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</si>
  <si>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</si>
  <si>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</si>
  <si>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</si>
  <si>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</si>
  <si>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</si>
  <si>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</si>
  <si>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</si>
  <si>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</si>
  <si>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</si>
  <si>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</si>
  <si>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</si>
  <si>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</si>
  <si>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</si>
  <si>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</si>
  <si>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</si>
  <si>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</si>
  <si>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</si>
  <si>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</si>
  <si>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</si>
  <si>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</si>
  <si>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</si>
  <si>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</si>
  <si>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</si>
  <si>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</si>
  <si>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</si>
  <si>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</si>
  <si>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</si>
  <si>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</si>
  <si>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</si>
  <si>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</si>
  <si>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</si>
  <si>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</si>
  <si>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</si>
  <si>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</si>
  <si>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</si>
  <si>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</si>
  <si>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</si>
  <si>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</si>
  <si>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</si>
  <si>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</si>
  <si>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</si>
  <si>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</si>
  <si>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</si>
  <si>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</si>
  <si>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</si>
  <si>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</si>
  <si>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</si>
  <si>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</si>
  <si>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</si>
  <si>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</si>
  <si>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</si>
  <si>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</si>
  <si>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</si>
  <si>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</si>
  <si>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</si>
  <si>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</si>
  <si>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</si>
  <si>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</si>
  <si>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</si>
  <si>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</si>
  <si>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</si>
  <si>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</si>
  <si>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</si>
  <si>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</si>
  <si>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</si>
  <si>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</si>
  <si>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</si>
  <si>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</si>
  <si>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</si>
  <si>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</si>
  <si>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</si>
  <si>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</si>
  <si>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</si>
  <si>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</si>
  <si>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</si>
  <si>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</si>
  <si>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</si>
  <si>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</si>
  <si>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</si>
  <si>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</si>
  <si>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</si>
  <si>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</si>
  <si>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</si>
  <si>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</si>
  <si>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</si>
  <si>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</si>
  <si>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</si>
  <si>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</si>
  <si>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</si>
  <si>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</si>
  <si>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</si>
  <si>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</si>
  <si>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</si>
  <si>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</si>
  <si>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</si>
  <si>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</si>
  <si>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</si>
  <si>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</si>
  <si>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</si>
  <si>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</si>
  <si>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</si>
  <si>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</si>
  <si>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</si>
  <si>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</si>
  <si>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</si>
  <si>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</si>
  <si>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</si>
  <si>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</si>
  <si>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</si>
  <si>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</si>
  <si>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</si>
  <si>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</si>
  <si>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</si>
  <si>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</si>
  <si>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</si>
  <si>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</si>
  <si>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</si>
  <si>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</si>
  <si>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</si>
  <si>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</si>
  <si>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</si>
  <si>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</si>
  <si>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</si>
  <si>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</si>
  <si>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</si>
  <si>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</si>
  <si>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</si>
  <si>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</si>
  <si>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</si>
  <si>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</si>
  <si>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</si>
  <si>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</si>
  <si>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</si>
  <si>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</si>
  <si>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</si>
  <si>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</si>
  <si>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</si>
  <si>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</si>
  <si>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</si>
  <si>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</si>
  <si>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</si>
  <si>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</si>
  <si>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</si>
  <si>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</si>
  <si>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</si>
  <si>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</si>
  <si>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</si>
  <si>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</si>
  <si>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</si>
  <si>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</si>
  <si>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</si>
  <si>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</si>
  <si>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</si>
  <si>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</si>
  <si>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</si>
  <si>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</si>
  <si>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</si>
  <si>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</si>
  <si>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</si>
  <si>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</si>
  <si>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</si>
  <si>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</si>
  <si>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</si>
  <si>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</si>
  <si>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</si>
  <si>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</si>
  <si>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</si>
  <si>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</si>
  <si>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</si>
  <si>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</si>
  <si>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</si>
  <si>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</si>
  <si>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</si>
  <si>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</si>
  <si>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</si>
  <si>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</si>
  <si>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</si>
  <si>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</si>
  <si>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</si>
  <si>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</si>
  <si>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</si>
  <si>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</si>
  <si>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</si>
  <si>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</si>
  <si>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</si>
  <si>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</si>
  <si>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</si>
  <si>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</si>
  <si>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</si>
  <si>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</si>
  <si>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</si>
  <si>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</si>
  <si>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</si>
  <si>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</si>
  <si>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</si>
  <si>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</si>
  <si>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</si>
  <si>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</si>
  <si>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</si>
  <si>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</si>
  <si>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</si>
  <si>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</si>
  <si>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</si>
  <si>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</si>
  <si>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</si>
  <si>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</si>
  <si>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</si>
  <si>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</si>
  <si>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</si>
  <si>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</si>
  <si>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</si>
  <si>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</si>
  <si>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</si>
  <si>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</si>
  <si>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</si>
  <si>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</si>
  <si>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</si>
  <si>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</si>
  <si>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</si>
  <si>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</si>
  <si>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</si>
  <si>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</si>
  <si>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</si>
  <si>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</si>
  <si>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</si>
  <si>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</si>
  <si>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</si>
  <si>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</si>
  <si>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</si>
  <si>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</si>
  <si>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</si>
  <si>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</si>
  <si>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</si>
  <si>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</si>
  <si>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</si>
  <si>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</si>
  <si>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</si>
  <si>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</si>
  <si>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</si>
  <si>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</si>
  <si>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</si>
  <si>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</si>
  <si>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</si>
  <si>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</si>
  <si>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</si>
  <si>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</si>
  <si>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</si>
  <si>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</si>
  <si>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</si>
  <si>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</si>
  <si>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</si>
  <si>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</si>
  <si>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</si>
  <si>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</si>
  <si>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</si>
  <si>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</si>
  <si>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</si>
  <si>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</si>
  <si>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</si>
  <si>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</si>
  <si>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</si>
  <si>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</si>
  <si>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</si>
  <si>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</si>
  <si>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</si>
  <si>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</si>
  <si>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</si>
  <si>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</si>
  <si>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</si>
  <si>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</si>
  <si>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</si>
  <si>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</si>
  <si>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</si>
  <si>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</si>
  <si>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</si>
  <si>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</si>
  <si>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</si>
  <si>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</si>
  <si>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</si>
  <si>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</si>
  <si>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</si>
  <si>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</si>
  <si>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</si>
  <si>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</si>
  <si>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</si>
  <si>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</si>
  <si>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</si>
  <si>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</si>
  <si>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</si>
  <si>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</si>
  <si>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</si>
  <si>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</si>
  <si>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</si>
  <si>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</si>
  <si>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</si>
  <si>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</si>
  <si>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</si>
  <si>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</si>
  <si>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</si>
  <si>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</si>
  <si>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</si>
  <si>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</si>
  <si>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</si>
  <si>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</si>
  <si>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</si>
  <si>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</si>
  <si>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</si>
  <si>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</si>
  <si>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</si>
  <si>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</si>
  <si>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</si>
  <si>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</si>
  <si>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</si>
  <si>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</si>
  <si>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</si>
  <si>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</si>
  <si>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</si>
  <si>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</si>
  <si>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</si>
  <si>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</si>
  <si>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</si>
  <si>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</si>
  <si>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</si>
  <si>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</si>
  <si>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</si>
  <si>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</si>
  <si>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</si>
  <si>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</si>
  <si>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</si>
  <si>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</si>
  <si>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</si>
  <si>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</si>
  <si>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</si>
  <si>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</si>
  <si>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</si>
  <si>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</si>
  <si>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</si>
  <si>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</si>
  <si>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</si>
  <si>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</si>
  <si>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</si>
  <si>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</si>
  <si>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</si>
  <si>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</si>
  <si>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</si>
  <si>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</si>
  <si>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</si>
  <si>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</si>
  <si>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</si>
  <si>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</si>
  <si>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</si>
  <si>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</si>
  <si>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</si>
  <si>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</si>
  <si>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</si>
  <si>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</si>
  <si>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</si>
  <si>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</si>
  <si>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</si>
  <si>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</si>
  <si>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</si>
  <si>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</si>
  <si>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</si>
  <si>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</si>
  <si>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</si>
  <si>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</si>
  <si>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</si>
  <si>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</si>
  <si>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</si>
  <si>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</si>
  <si>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</si>
  <si>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</si>
  <si>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</si>
  <si>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</si>
  <si>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</si>
  <si>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</si>
  <si>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</si>
  <si>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</si>
  <si>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</si>
  <si>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</si>
  <si>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</si>
  <si>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</si>
  <si>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</si>
  <si>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</si>
  <si>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</si>
  <si>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</si>
  <si>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</si>
  <si>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</si>
  <si>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</si>
  <si>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</si>
  <si>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</si>
  <si>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</si>
  <si>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</si>
  <si>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</si>
  <si>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</si>
  <si>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</si>
  <si>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</si>
  <si>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</si>
  <si>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</si>
  <si>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</si>
  <si>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</si>
  <si>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</si>
  <si>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</si>
  <si>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</si>
  <si>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</si>
  <si>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</si>
  <si>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</si>
  <si>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</si>
  <si>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</si>
  <si>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</si>
  <si>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</si>
  <si>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</si>
  <si>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</si>
  <si>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</si>
  <si>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</si>
  <si>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</si>
  <si>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</si>
  <si>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</si>
  <si>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</si>
  <si>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</si>
  <si>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</si>
  <si>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</si>
  <si>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</si>
  <si>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</si>
  <si>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</si>
  <si>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</si>
  <si>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</si>
  <si>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</si>
  <si>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</si>
  <si>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</si>
  <si>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</si>
  <si>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</si>
  <si>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</si>
  <si>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</si>
  <si>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</si>
  <si>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</si>
  <si>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</si>
  <si>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</si>
  <si>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</si>
  <si>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</si>
  <si>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</si>
  <si>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</si>
  <si>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</si>
  <si>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</si>
  <si>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</si>
  <si>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</si>
  <si>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</si>
  <si>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</si>
  <si>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</si>
  <si>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</si>
  <si>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</si>
  <si>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</si>
  <si>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</si>
  <si>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</si>
  <si>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</si>
  <si>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</si>
  <si>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</si>
  <si>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</si>
  <si>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</si>
  <si>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</si>
  <si>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</si>
  <si>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</si>
  <si>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</si>
  <si>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</si>
  <si>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</si>
  <si>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</si>
  <si>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</si>
  <si>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</si>
  <si>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</si>
  <si>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</si>
  <si>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</si>
  <si>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</si>
  <si>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</si>
  <si>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</si>
  <si>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</si>
  <si>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</si>
  <si>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</si>
  <si>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</si>
  <si>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</si>
  <si>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</si>
  <si>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</si>
  <si>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</si>
  <si>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</si>
  <si>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</si>
  <si>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</si>
  <si>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</si>
  <si>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</si>
  <si>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</si>
  <si>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</si>
  <si>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</si>
  <si>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</si>
  <si>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</si>
  <si>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</si>
  <si>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</si>
  <si>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</si>
  <si>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</si>
  <si>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</si>
  <si>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</si>
  <si>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</si>
  <si>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</si>
  <si>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</si>
  <si>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</si>
  <si>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</si>
  <si>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</si>
  <si>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</si>
  <si>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</si>
  <si>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</si>
  <si>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</si>
  <si>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</si>
  <si>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</si>
  <si>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</si>
  <si>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</si>
  <si>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</si>
  <si>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</si>
  <si>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</si>
  <si>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</si>
  <si>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</si>
  <si>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</si>
  <si>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</si>
  <si>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</si>
  <si>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</si>
  <si>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</si>
  <si>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</si>
  <si>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</si>
  <si>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</si>
  <si>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</si>
  <si>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</si>
  <si>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</si>
  <si>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</si>
  <si>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</si>
  <si>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</si>
  <si>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</si>
  <si>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</si>
  <si>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</si>
  <si>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</si>
  <si>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</si>
  <si>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</si>
  <si>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</si>
  <si>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</si>
  <si>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</si>
  <si>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</si>
  <si>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</si>
  <si>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</si>
  <si>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</si>
  <si>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</si>
  <si>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</si>
  <si>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</si>
  <si>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</si>
  <si>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</si>
  <si>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</si>
  <si>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</si>
  <si>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</si>
  <si>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</si>
  <si>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</si>
  <si>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</si>
  <si>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</si>
  <si>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</si>
  <si>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</si>
  <si>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</si>
  <si>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</si>
  <si>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</si>
  <si>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</si>
  <si>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</si>
  <si>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</si>
  <si>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</si>
  <si>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</si>
  <si>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</si>
  <si>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</si>
  <si>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</si>
  <si>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</si>
  <si>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</si>
  <si>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</si>
  <si>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</si>
  <si>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</si>
  <si>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</si>
  <si>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</si>
  <si>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</si>
  <si>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</si>
  <si>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</si>
  <si>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</si>
  <si>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</si>
  <si>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</si>
  <si>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</si>
  <si>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</si>
  <si>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</si>
  <si>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</si>
  <si>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</si>
  <si>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</si>
  <si>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</si>
  <si>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</si>
  <si>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</si>
  <si>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</si>
  <si>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</si>
  <si>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</si>
  <si>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</si>
  <si>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</si>
  <si>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</si>
  <si>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</si>
  <si>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</si>
  <si>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</si>
  <si>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</si>
  <si>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</si>
  <si>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</si>
  <si>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</si>
  <si>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</si>
  <si>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</si>
  <si>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</si>
  <si>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</si>
  <si>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</si>
  <si>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</si>
  <si>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</si>
  <si>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</si>
  <si>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</si>
  <si>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</si>
  <si>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</si>
  <si>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</si>
  <si>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</si>
  <si>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</si>
  <si>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</si>
  <si>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</si>
  <si>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</si>
  <si>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</si>
  <si>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</si>
  <si>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</si>
  <si>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</si>
  <si>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</si>
  <si>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</si>
  <si>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</si>
  <si>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</si>
  <si>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</si>
  <si>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</si>
  <si>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</si>
  <si>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</si>
  <si>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</si>
  <si>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</si>
  <si>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</si>
  <si>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</si>
  <si>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</si>
  <si>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</si>
  <si>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</si>
  <si>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</si>
  <si>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</si>
  <si>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</si>
  <si>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</si>
  <si>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</si>
  <si>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</si>
  <si>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</si>
  <si>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</si>
  <si>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</si>
  <si>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</si>
  <si>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</si>
  <si>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</si>
  <si>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</si>
  <si>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</si>
  <si>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</si>
  <si>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</si>
  <si>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</si>
  <si>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</si>
  <si>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</si>
  <si>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</si>
  <si>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</si>
  <si>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</si>
  <si>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</si>
  <si>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</si>
  <si>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</si>
  <si>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</si>
  <si>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</si>
  <si>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</si>
  <si>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</si>
  <si>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</si>
  <si>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</si>
  <si>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</si>
  <si>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</si>
  <si>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</si>
  <si>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</si>
  <si>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</si>
  <si>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</si>
  <si>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</si>
  <si>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</si>
  <si>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</si>
  <si>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</si>
  <si>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</si>
  <si>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</si>
  <si>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</si>
  <si>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</si>
  <si>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</si>
  <si>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</si>
  <si>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</si>
  <si>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</si>
  <si>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</si>
  <si>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</si>
  <si>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</si>
  <si>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</si>
  <si>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</si>
  <si>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</si>
  <si>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</si>
  <si>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</si>
  <si>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</si>
  <si>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</si>
  <si>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</si>
  <si>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</si>
  <si>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</si>
  <si>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</si>
  <si>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</si>
  <si>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</si>
  <si>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</si>
  <si>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</si>
  <si>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</si>
  <si>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</si>
  <si>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</si>
  <si>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</si>
  <si>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</si>
  <si>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</si>
  <si>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</si>
  <si>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</si>
  <si>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</si>
  <si>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</si>
  <si>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</si>
  <si>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</si>
  <si>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</si>
  <si>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</si>
  <si>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</si>
  <si>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</si>
  <si>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</si>
  <si>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</si>
  <si>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</si>
  <si>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</si>
  <si>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</si>
  <si>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</si>
  <si>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</si>
  <si>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</si>
  <si>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</si>
  <si>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</si>
  <si>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</si>
  <si>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</si>
  <si>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</si>
  <si>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</si>
  <si>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</si>
  <si>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</si>
  <si>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</si>
  <si>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</si>
  <si>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</si>
  <si>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</si>
  <si>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</si>
  <si>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</si>
  <si>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</si>
  <si>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</si>
  <si>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</si>
  <si>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</si>
  <si>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</si>
  <si>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</si>
  <si>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</si>
  <si>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</si>
  <si>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</si>
  <si>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</si>
  <si>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</si>
  <si>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</si>
  <si>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</si>
  <si>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</si>
  <si>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</si>
  <si>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</si>
  <si>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</si>
  <si>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</si>
  <si>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</si>
  <si>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</si>
  <si>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</si>
  <si>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</si>
  <si>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</si>
  <si>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</si>
  <si>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</si>
  <si>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</si>
  <si>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</si>
  <si>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</si>
  <si>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</si>
  <si>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</si>
  <si>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</si>
  <si>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</si>
  <si>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</si>
  <si>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</si>
  <si>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</si>
  <si>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</si>
  <si>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</si>
  <si>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</si>
  <si>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</si>
  <si>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</si>
  <si>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</si>
  <si>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</si>
  <si>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</si>
  <si>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</si>
  <si>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</si>
  <si>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</si>
  <si>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</si>
  <si>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</si>
  <si>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</si>
  <si>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</si>
  <si>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</si>
  <si>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</si>
  <si>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</si>
  <si>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</si>
  <si>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</si>
  <si>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</si>
  <si>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</si>
  <si>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</si>
  <si>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</si>
  <si>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</si>
  <si>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</si>
  <si>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</si>
  <si>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</si>
  <si>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</si>
  <si>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</si>
  <si>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</si>
  <si>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</si>
  <si>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</si>
  <si>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</si>
  <si>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</si>
  <si>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</si>
  <si>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</si>
  <si>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</si>
  <si>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</si>
  <si>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</si>
  <si>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</si>
  <si>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</si>
  <si>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</si>
  <si>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</si>
  <si>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</si>
  <si>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</si>
  <si>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</si>
  <si>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</si>
  <si>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</si>
  <si>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</si>
  <si>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</si>
  <si>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</si>
  <si>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</si>
  <si>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</si>
  <si>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</si>
  <si>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</si>
  <si>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</si>
  <si>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</si>
  <si>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</si>
  <si>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</si>
  <si>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</si>
  <si>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</si>
  <si>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</si>
  <si>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</si>
  <si>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</si>
  <si>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</si>
  <si>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</si>
  <si>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</si>
  <si>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</si>
  <si>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</si>
  <si>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</si>
  <si>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</si>
  <si>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</si>
  <si>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</si>
  <si>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</si>
  <si>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</si>
  <si>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</si>
  <si>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</si>
  <si>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</si>
  <si>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</si>
  <si>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</si>
  <si>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</si>
  <si>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</si>
  <si>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</si>
  <si>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</si>
  <si>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</si>
  <si>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</si>
  <si>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</si>
  <si>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</si>
  <si>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</si>
  <si>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</si>
  <si>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</si>
  <si>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</si>
  <si>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</si>
  <si>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</si>
  <si>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</si>
  <si>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</si>
  <si>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</si>
  <si>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</si>
  <si>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</si>
  <si>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</si>
  <si>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</si>
  <si>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</si>
  <si>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</si>
  <si>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</si>
  <si>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</si>
  <si>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</si>
  <si>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</si>
  <si>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</si>
  <si>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</si>
  <si>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</si>
  <si>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</si>
  <si>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</si>
  <si>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</si>
  <si>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</si>
  <si>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</si>
  <si>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</si>
  <si>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</si>
  <si>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</si>
  <si>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</si>
  <si>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</si>
  <si>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</si>
  <si>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</si>
  <si>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</si>
  <si>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</si>
  <si>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</si>
  <si>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</si>
  <si>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</si>
  <si>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</si>
  <si>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</si>
  <si>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</si>
  <si>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</si>
  <si>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</si>
  <si>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</si>
  <si>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</si>
  <si>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</si>
  <si>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</si>
  <si>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</si>
  <si>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</si>
  <si>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</si>
  <si>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</si>
  <si>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</si>
  <si>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</si>
  <si>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</si>
  <si>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</si>
  <si>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</si>
  <si>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</si>
  <si>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</si>
  <si>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</si>
  <si>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</si>
  <si>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</si>
  <si>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</si>
  <si>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</si>
  <si>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</si>
  <si>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</si>
  <si>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</si>
  <si>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</si>
  <si>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</si>
  <si>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</si>
  <si>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</si>
  <si>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</si>
  <si>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</si>
  <si>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</si>
  <si>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</si>
  <si>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</si>
  <si>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</si>
  <si>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</si>
  <si>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</si>
  <si>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</si>
  <si>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</si>
  <si>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</si>
  <si>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</si>
  <si>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</si>
  <si>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</si>
  <si>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</si>
  <si>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</si>
  <si>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</si>
  <si>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</si>
  <si>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</si>
  <si>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</si>
  <si>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</si>
  <si>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</si>
  <si>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</si>
  <si>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</si>
  <si>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</si>
  <si>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</si>
  <si>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</si>
  <si>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</si>
  <si>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</si>
  <si>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</si>
  <si>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</si>
  <si>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</si>
  <si>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</si>
  <si>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</si>
  <si>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</si>
  <si>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</si>
  <si>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</si>
  <si>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</si>
  <si>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</si>
  <si>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</si>
  <si>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</si>
  <si>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</si>
  <si>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</si>
  <si>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</si>
  <si>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</si>
  <si>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</si>
  <si>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</si>
  <si>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</si>
  <si>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</si>
  <si>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</si>
  <si>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</si>
  <si>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</si>
  <si>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</si>
  <si>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</si>
  <si>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</si>
  <si>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</si>
  <si>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</si>
  <si>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</si>
  <si>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</si>
  <si>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</si>
  <si>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</si>
  <si>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</si>
  <si>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</si>
  <si>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</si>
  <si>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</si>
  <si>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</si>
  <si>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</si>
  <si>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</si>
  <si>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</si>
  <si>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</si>
  <si>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</si>
  <si>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</si>
  <si>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</si>
  <si>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</si>
  <si>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</si>
  <si>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</si>
  <si>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</si>
  <si>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</si>
  <si>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</si>
  <si>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</si>
  <si>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</si>
  <si>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</si>
  <si>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</si>
  <si>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</si>
  <si>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</si>
  <si>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</si>
  <si>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</si>
  <si>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</si>
  <si>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</si>
  <si>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</si>
  <si>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</si>
  <si>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</si>
  <si>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</si>
  <si>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</si>
  <si>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</si>
  <si>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</si>
  <si>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</si>
  <si>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</si>
  <si>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</si>
  <si>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</si>
  <si>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</si>
  <si>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</si>
  <si>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</si>
  <si>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</si>
  <si>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</si>
  <si>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</si>
  <si>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</si>
  <si>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</si>
  <si>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</si>
  <si>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</si>
  <si>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</si>
  <si>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</si>
  <si>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</si>
  <si>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</si>
  <si>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</si>
  <si>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</si>
  <si>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</si>
  <si>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</si>
  <si>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</si>
  <si>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</si>
  <si>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</si>
  <si>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</si>
  <si>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</si>
  <si>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</si>
  <si>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</si>
  <si>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</si>
  <si>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</si>
  <si>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</si>
  <si>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</si>
  <si>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</si>
  <si>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</si>
  <si>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</si>
  <si>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</si>
  <si>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</si>
  <si>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</si>
  <si>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</si>
  <si>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</si>
  <si>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</si>
  <si>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</si>
  <si>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</si>
  <si>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</si>
  <si>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</si>
  <si>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</si>
  <si>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</si>
  <si>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</si>
  <si>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</si>
  <si>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</si>
  <si>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</si>
  <si>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</si>
  <si>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</si>
  <si>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</si>
  <si>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</si>
  <si>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</si>
  <si>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</si>
  <si>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</si>
  <si>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</si>
  <si>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</si>
  <si>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</si>
  <si>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</si>
  <si>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</si>
  <si>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</si>
  <si>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</si>
  <si>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</si>
  <si>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</si>
  <si>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</si>
  <si>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</si>
  <si>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</si>
  <si>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</si>
  <si>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</si>
  <si>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</si>
  <si>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</si>
  <si>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</si>
  <si>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</si>
  <si>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</si>
  <si>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</si>
  <si>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</si>
  <si>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</si>
  <si>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</si>
  <si>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</si>
  <si>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</si>
  <si>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</si>
  <si>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</si>
  <si>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</si>
  <si>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</si>
  <si>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</si>
  <si>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</si>
  <si>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</si>
  <si>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</si>
  <si>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</si>
  <si>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</si>
  <si>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</si>
  <si>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</si>
  <si>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</si>
  <si>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</si>
  <si>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</si>
  <si>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</si>
  <si>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</si>
  <si>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</si>
  <si>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</si>
  <si>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</si>
  <si>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</si>
  <si>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</si>
  <si>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</si>
  <si>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</si>
  <si>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</si>
  <si>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</si>
  <si>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</si>
  <si>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</si>
  <si>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</si>
  <si>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</si>
  <si>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</si>
  <si>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</si>
  <si>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</si>
  <si>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</si>
  <si>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</si>
  <si>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</si>
  <si>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</si>
  <si>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</si>
  <si>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</si>
  <si>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</si>
  <si>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</si>
  <si>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</si>
  <si>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</si>
  <si>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</si>
  <si>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</si>
  <si>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</si>
  <si>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</si>
  <si>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</si>
  <si>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</si>
  <si>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</si>
  <si>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</si>
  <si>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</si>
  <si>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</si>
  <si>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</si>
  <si>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</si>
  <si>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</si>
  <si>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</si>
  <si>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</si>
  <si>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</si>
  <si>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</si>
  <si>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</si>
  <si>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</si>
  <si>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</si>
  <si>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</si>
  <si>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</si>
  <si>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</si>
  <si>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</si>
  <si>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</si>
  <si>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</si>
  <si>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</si>
  <si>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</si>
  <si>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</si>
  <si>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</si>
  <si>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</si>
  <si>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</si>
  <si>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</si>
  <si>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</si>
  <si>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</si>
  <si>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</si>
  <si>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</si>
  <si>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</si>
  <si>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</si>
  <si>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</si>
  <si>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</si>
  <si>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</si>
  <si>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</si>
  <si>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</si>
  <si>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</si>
  <si>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</si>
  <si>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</si>
  <si>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</si>
  <si>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</si>
  <si>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</si>
  <si>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</si>
  <si>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</si>
  <si>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</si>
  <si>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</si>
  <si>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</si>
  <si>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</si>
  <si>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</si>
  <si>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</si>
  <si>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</si>
  <si>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</si>
  <si>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</si>
  <si>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</si>
  <si>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</si>
  <si>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</si>
  <si>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</si>
  <si>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</si>
  <si>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</si>
  <si>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</si>
  <si>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</si>
  <si>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</si>
  <si>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</si>
  <si>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</si>
  <si>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</si>
  <si>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</si>
  <si>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</si>
  <si>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</si>
  <si>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</si>
  <si>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</si>
  <si>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</si>
  <si>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</si>
  <si>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</si>
  <si>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</si>
  <si>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</si>
  <si>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</si>
  <si>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</si>
  <si>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</si>
  <si>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</si>
  <si>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</si>
  <si>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</si>
  <si>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</si>
  <si>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</si>
  <si>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</si>
  <si>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</si>
  <si>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</si>
  <si>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</si>
  <si>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</si>
  <si>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</si>
  <si>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</si>
  <si>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</si>
  <si>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</si>
  <si>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</si>
  <si>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</si>
  <si>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</si>
  <si>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</si>
  <si>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</si>
  <si>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</si>
  <si>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</si>
  <si>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</si>
  <si>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</si>
  <si>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</si>
  <si>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</si>
  <si>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</si>
  <si>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</si>
  <si>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</si>
  <si>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</si>
  <si>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</si>
  <si>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</si>
  <si>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</si>
  <si>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</si>
  <si>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</si>
  <si>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</si>
  <si>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</si>
  <si>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</si>
  <si>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</si>
  <si>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</si>
  <si>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</si>
  <si>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</si>
  <si>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</si>
  <si>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</si>
  <si>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</si>
  <si>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</si>
  <si>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</si>
  <si>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</si>
  <si>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</si>
  <si>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</si>
  <si>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</si>
  <si>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</si>
  <si>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</si>
  <si>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</si>
  <si>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</si>
  <si>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</si>
  <si>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</si>
  <si>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</si>
  <si>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</si>
  <si>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</si>
  <si>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</si>
  <si>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</si>
  <si>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</si>
  <si>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</si>
  <si>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</si>
  <si>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</si>
  <si>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</si>
  <si>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</si>
  <si>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</si>
  <si>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</si>
  <si>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</si>
  <si>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</si>
  <si>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</si>
  <si>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</si>
  <si>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</si>
  <si>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</si>
  <si>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</si>
  <si>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</si>
  <si>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</si>
  <si>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</si>
  <si>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</si>
  <si>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</si>
  <si>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</si>
  <si>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</si>
  <si>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</si>
  <si>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</si>
  <si>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</si>
  <si>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</si>
  <si>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</si>
  <si>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</si>
  <si>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</si>
  <si>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</si>
  <si>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</si>
  <si>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</si>
  <si>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</si>
  <si>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</si>
  <si>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</si>
  <si>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</si>
  <si>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</si>
  <si>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</si>
  <si>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</si>
  <si>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</si>
  <si>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</si>
  <si>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</si>
  <si>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</si>
  <si>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</si>
  <si>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</si>
  <si>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</si>
  <si>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</si>
  <si>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</si>
  <si>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</si>
  <si>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</si>
  <si>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</si>
  <si>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</si>
  <si>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</si>
  <si>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</si>
  <si>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</si>
  <si>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</si>
  <si>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</si>
  <si>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</si>
  <si>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</si>
  <si>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</si>
  <si>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</si>
  <si>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</si>
  <si>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</si>
  <si>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</si>
  <si>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</si>
  <si>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</si>
  <si>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</si>
  <si>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</si>
  <si>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</si>
  <si>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</si>
  <si>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</si>
  <si>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</si>
  <si>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</si>
  <si>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</si>
  <si>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</si>
  <si>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</si>
  <si>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</si>
  <si>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</si>
  <si>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</si>
  <si>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</si>
  <si>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</si>
  <si>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</si>
  <si>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</si>
  <si>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</si>
  <si>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</si>
  <si>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</si>
  <si>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</si>
  <si>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</si>
  <si>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</si>
  <si>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</si>
  <si>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</si>
  <si>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</si>
  <si>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</si>
  <si>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</si>
  <si>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</si>
  <si>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</si>
  <si>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</si>
  <si>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</si>
  <si>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</si>
  <si>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</si>
  <si>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</si>
  <si>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</si>
  <si>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</si>
  <si>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</si>
  <si>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</si>
  <si>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</si>
  <si>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</si>
  <si>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</si>
  <si>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</si>
  <si>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</si>
  <si>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</si>
  <si>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</si>
  <si>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</si>
  <si>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</si>
  <si>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</si>
  <si>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</si>
  <si>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</si>
  <si>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</si>
  <si>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</si>
  <si>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</si>
  <si>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</si>
  <si>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</si>
  <si>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</si>
  <si>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</si>
  <si>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</si>
  <si>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</si>
  <si>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</si>
  <si>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</si>
  <si>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</si>
  <si>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</si>
  <si>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</si>
  <si>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</si>
  <si>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</si>
  <si>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</si>
  <si>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</si>
  <si>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</si>
  <si>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</si>
  <si>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</si>
  <si>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</si>
  <si>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</si>
  <si>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</si>
  <si>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</si>
  <si>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</si>
  <si>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</si>
  <si>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</si>
  <si>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</si>
  <si>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</si>
  <si>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</si>
  <si>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</si>
  <si>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</si>
  <si>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</si>
  <si>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</si>
  <si>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</si>
  <si>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</si>
  <si>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</si>
  <si>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</si>
  <si>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</si>
  <si>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</si>
  <si>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</si>
  <si>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</si>
  <si>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</si>
  <si>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</si>
  <si>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</si>
  <si>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</si>
  <si>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</si>
  <si>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</si>
  <si>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</si>
  <si>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</si>
  <si>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</si>
  <si>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</si>
  <si>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</si>
  <si>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</si>
  <si>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</si>
  <si>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</si>
  <si>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</si>
  <si>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</si>
  <si>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</si>
  <si>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</si>
  <si>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</si>
  <si>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</si>
  <si>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</si>
  <si>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</si>
  <si>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</si>
  <si>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</si>
  <si>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</si>
  <si>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</si>
  <si>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</si>
  <si>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</si>
  <si>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</si>
  <si>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</si>
  <si>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</si>
  <si>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</si>
  <si>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</si>
  <si>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</si>
  <si>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</si>
  <si>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</si>
  <si>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</si>
  <si>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</si>
  <si>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</si>
  <si>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</si>
  <si>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</si>
  <si>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</si>
  <si>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</si>
  <si>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</si>
  <si>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</si>
  <si>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</si>
  <si>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</si>
  <si>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</si>
  <si>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</si>
  <si>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</si>
  <si>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</si>
  <si>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</si>
  <si>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</si>
  <si>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</si>
  <si>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</si>
  <si>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</si>
  <si>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</si>
  <si>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</si>
  <si>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</si>
  <si>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</si>
  <si>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</si>
  <si>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</si>
  <si>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</si>
  <si>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</si>
  <si>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</si>
  <si>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</si>
  <si>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</si>
  <si>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</si>
  <si>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</si>
  <si>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</si>
  <si>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</si>
  <si>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</si>
  <si>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</si>
  <si>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</si>
  <si>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</si>
  <si>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</si>
  <si>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</si>
  <si>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</si>
  <si>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</si>
  <si>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</si>
  <si>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</si>
  <si>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</si>
  <si>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</si>
  <si>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</si>
  <si>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</si>
  <si>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</si>
  <si>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</si>
  <si>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</si>
  <si>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</si>
  <si>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</si>
  <si>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</si>
  <si>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</si>
  <si>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</si>
  <si>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</si>
  <si>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</si>
  <si>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</si>
  <si>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</si>
  <si>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</si>
  <si>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</si>
  <si>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</si>
  <si>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</si>
  <si>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</si>
  <si>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</si>
  <si>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</si>
  <si>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</si>
  <si>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</si>
  <si>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</si>
  <si>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</si>
  <si>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</si>
  <si>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</si>
  <si>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</si>
  <si>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</si>
  <si>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</si>
  <si>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</si>
  <si>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</si>
  <si>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</si>
  <si>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</si>
  <si>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</si>
  <si>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</si>
  <si>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</si>
  <si>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</si>
  <si>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</si>
  <si>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</si>
  <si>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</si>
  <si>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</si>
  <si>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</si>
  <si>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</si>
  <si>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</si>
  <si>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</si>
  <si>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</si>
  <si>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</si>
  <si>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</si>
  <si>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</si>
  <si>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</si>
  <si>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</si>
  <si>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</si>
  <si>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</si>
  <si>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</si>
  <si>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</si>
  <si>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</si>
  <si>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</si>
  <si>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</si>
  <si>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</si>
  <si>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</si>
  <si>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</si>
  <si>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</si>
  <si>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</si>
  <si>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</si>
  <si>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</si>
  <si>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</si>
  <si>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</si>
  <si>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</si>
  <si>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</si>
  <si>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</si>
  <si>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</si>
  <si>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</si>
  <si>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</si>
  <si>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</si>
  <si>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</si>
  <si>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</si>
  <si>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</si>
  <si>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</si>
  <si>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</si>
  <si>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</si>
  <si>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</si>
  <si>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</si>
  <si>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</si>
  <si>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</si>
  <si>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</si>
  <si>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</si>
  <si>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</si>
  <si>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</si>
  <si>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</si>
  <si>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</si>
  <si>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</si>
  <si>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</si>
  <si>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</si>
  <si>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</si>
  <si>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</si>
  <si>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</si>
  <si>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</si>
  <si>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</si>
  <si>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</si>
  <si>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</si>
  <si>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</si>
  <si>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</si>
  <si>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</si>
  <si>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</si>
  <si>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</si>
  <si>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</si>
  <si>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</si>
  <si>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</si>
  <si>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</si>
  <si>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</si>
  <si>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</si>
  <si>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</si>
  <si>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</si>
  <si>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</si>
  <si>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</si>
  <si>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</si>
  <si>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</si>
  <si>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</si>
  <si>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</si>
  <si>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</si>
  <si>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</si>
  <si>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</si>
  <si>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</si>
  <si>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</si>
  <si>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</si>
  <si>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</si>
  <si>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</si>
  <si>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</si>
  <si>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</si>
  <si>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</si>
  <si>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</si>
  <si>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</si>
  <si>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</si>
  <si>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</si>
  <si>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</si>
  <si>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</si>
  <si>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</si>
  <si>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</si>
  <si>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</si>
  <si>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</si>
  <si>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</si>
  <si>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</si>
  <si>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</si>
  <si>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</si>
  <si>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</si>
  <si>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</si>
  <si>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</si>
  <si>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</si>
  <si>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</si>
  <si>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</si>
  <si>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</si>
  <si>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</si>
  <si>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</si>
  <si>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</si>
  <si>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</si>
  <si>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</si>
  <si>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</si>
  <si>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</si>
  <si>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</si>
  <si>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</si>
  <si>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</si>
  <si>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</si>
  <si>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</si>
  <si>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</si>
  <si>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</si>
  <si>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</si>
  <si>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</si>
  <si>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</si>
  <si>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</si>
  <si>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</si>
  <si>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</si>
  <si>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</si>
  <si>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</si>
  <si>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</si>
  <si>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</si>
  <si>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</si>
  <si>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</si>
  <si>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</si>
  <si>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</si>
  <si>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</si>
  <si>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</si>
  <si>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</si>
  <si>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</si>
  <si>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</si>
  <si>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</si>
  <si>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</si>
  <si>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</si>
  <si>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</si>
  <si>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</si>
  <si>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</si>
  <si>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</si>
  <si>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</si>
  <si>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</si>
  <si>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</si>
  <si>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</si>
  <si>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</si>
  <si>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</si>
  <si>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</si>
  <si>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</si>
  <si>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</si>
  <si>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</si>
  <si>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</si>
  <si>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</si>
  <si>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</si>
  <si>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</si>
  <si>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</si>
  <si>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</si>
  <si>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</si>
  <si>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</si>
  <si>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</si>
  <si>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</si>
  <si>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</si>
  <si>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</si>
  <si>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</si>
  <si>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</si>
  <si>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</si>
  <si>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</si>
  <si>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</si>
  <si>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</si>
  <si>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</si>
  <si>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</si>
  <si>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</si>
  <si>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</si>
  <si>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</si>
  <si>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</si>
  <si>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</si>
  <si>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</si>
  <si>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</si>
  <si>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</si>
  <si>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</si>
  <si>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</si>
  <si>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</si>
  <si>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</si>
  <si>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</si>
  <si>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</si>
  <si>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</si>
  <si>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</si>
  <si>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</si>
  <si>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</si>
  <si>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</si>
  <si>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</si>
  <si>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</si>
  <si>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</si>
  <si>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</si>
  <si>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</si>
  <si>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</si>
  <si>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</si>
  <si>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</si>
  <si>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</si>
  <si>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</si>
  <si>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</si>
  <si>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</si>
  <si>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</si>
  <si>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</si>
  <si>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</si>
  <si>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</si>
  <si>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</si>
  <si>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</si>
  <si>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</si>
  <si>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</si>
  <si>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</si>
  <si>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</si>
  <si>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</si>
  <si>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</si>
  <si>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</si>
  <si>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</si>
  <si>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</si>
  <si>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</si>
  <si>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</si>
  <si>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</si>
  <si>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</si>
  <si>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</si>
  <si>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</si>
  <si>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</si>
  <si>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</si>
  <si>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</si>
  <si>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</si>
  <si>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</si>
  <si>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</si>
  <si>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</si>
  <si>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</si>
  <si>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</si>
  <si>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</si>
  <si>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</si>
  <si>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</si>
  <si>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</si>
  <si>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</si>
  <si>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</si>
  <si>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</si>
  <si>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</si>
  <si>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</si>
  <si>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</si>
  <si>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</si>
  <si>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</si>
  <si>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</si>
  <si>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</si>
  <si>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</si>
  <si>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</si>
  <si>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</si>
  <si>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</si>
  <si>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</si>
  <si>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</si>
  <si>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</si>
  <si>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</si>
  <si>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</si>
  <si>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</si>
  <si>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</si>
  <si>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</si>
  <si>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</si>
  <si>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</si>
  <si>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</si>
  <si>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</si>
  <si>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</si>
  <si>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</si>
  <si>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</si>
  <si>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</si>
  <si>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</si>
  <si>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</si>
  <si>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</si>
  <si>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</si>
  <si>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</si>
  <si>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</si>
  <si>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</si>
  <si>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</si>
  <si>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</si>
  <si>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</si>
  <si>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</si>
  <si>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</si>
  <si>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</si>
  <si>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</si>
  <si>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</si>
  <si>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</si>
  <si>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</si>
  <si>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</si>
  <si>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</si>
  <si>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</si>
  <si>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</si>
  <si>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</si>
  <si>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</si>
  <si>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</si>
  <si>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</si>
  <si>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</si>
  <si>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</si>
  <si>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</si>
  <si>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</si>
  <si>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</si>
  <si>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</si>
  <si>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</si>
  <si>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</si>
  <si>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</si>
  <si>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</si>
  <si>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</si>
  <si>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</si>
  <si>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</si>
  <si>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</si>
  <si>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</si>
  <si>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</si>
  <si>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</si>
  <si>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</si>
  <si>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</si>
  <si>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</si>
  <si>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</si>
  <si>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</si>
  <si>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</si>
  <si>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</si>
  <si>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</si>
  <si>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</si>
  <si>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</si>
  <si>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</si>
  <si>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</si>
  <si>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</si>
  <si>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</si>
  <si>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</si>
  <si>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</si>
  <si>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</si>
  <si>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</si>
  <si>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</si>
  <si>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</si>
  <si>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</si>
  <si>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</si>
  <si>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</si>
  <si>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</si>
  <si>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</si>
  <si>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</si>
  <si>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</si>
  <si>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</si>
  <si>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</si>
  <si>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</si>
  <si>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</si>
  <si>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</si>
  <si>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</si>
  <si>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</si>
  <si>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</si>
  <si>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</si>
  <si>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</si>
  <si>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</si>
  <si>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</si>
  <si>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</si>
  <si>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</si>
  <si>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</si>
  <si>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</si>
  <si>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</si>
  <si>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</si>
  <si>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</si>
  <si>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</si>
  <si>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</si>
  <si>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</si>
  <si>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</si>
  <si>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</si>
  <si>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</si>
  <si>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</si>
  <si>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</si>
  <si>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</si>
  <si>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</si>
  <si>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</si>
  <si>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</si>
  <si>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</si>
  <si>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</si>
  <si>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</si>
  <si>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</si>
  <si>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</si>
  <si>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</si>
  <si>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</si>
  <si>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</si>
  <si>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</si>
  <si>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</si>
  <si>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</si>
  <si>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</si>
  <si>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</si>
  <si>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</si>
  <si>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</si>
  <si>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</si>
  <si>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</si>
  <si>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</si>
  <si>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</si>
  <si>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</si>
  <si>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</si>
  <si>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</si>
  <si>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</si>
  <si>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</si>
  <si>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</si>
  <si>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</si>
  <si>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</si>
  <si>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</si>
  <si>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</si>
  <si>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</si>
  <si>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</si>
  <si>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</si>
  <si>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</si>
  <si>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</si>
  <si>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</si>
  <si>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</si>
  <si>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</si>
  <si>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</si>
  <si>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</si>
  <si>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</si>
  <si>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</si>
  <si>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</si>
  <si>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</si>
  <si>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</si>
  <si>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</si>
  <si>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</si>
  <si>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</si>
  <si>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</si>
  <si>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</si>
  <si>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</si>
  <si>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</si>
  <si>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</si>
  <si>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</si>
  <si>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</si>
  <si>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</si>
  <si>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</si>
  <si>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</si>
  <si>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</si>
  <si>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</si>
  <si>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</si>
  <si>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</si>
  <si>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</si>
  <si>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</si>
  <si>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</si>
  <si>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</si>
  <si>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</si>
  <si>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</si>
  <si>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</si>
  <si>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</si>
  <si>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</si>
  <si>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</si>
  <si>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</si>
  <si>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</si>
  <si>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</si>
  <si>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</si>
  <si>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</si>
  <si>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</si>
  <si>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</si>
  <si>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</si>
  <si>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</si>
  <si>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</si>
  <si>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</si>
  <si>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</si>
  <si>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</si>
  <si>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</si>
  <si>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</si>
  <si>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</si>
  <si>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</si>
  <si>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</si>
  <si>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</si>
  <si>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</si>
  <si>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</si>
  <si>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</si>
  <si>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</si>
  <si>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</si>
  <si>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</si>
  <si>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</si>
  <si>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</si>
  <si>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</si>
  <si>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</si>
  <si>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</si>
  <si>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</si>
  <si>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</si>
  <si>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</si>
  <si>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</si>
  <si>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</si>
  <si>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</si>
  <si>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</si>
  <si>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</si>
  <si>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</si>
  <si>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</si>
  <si>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</si>
  <si>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</si>
  <si>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</si>
  <si>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</si>
  <si>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</si>
  <si>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</si>
  <si>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</si>
  <si>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</si>
  <si>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</si>
  <si>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</si>
  <si>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</si>
  <si>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</si>
  <si>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</si>
  <si>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</si>
  <si>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</si>
  <si>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</si>
  <si>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</si>
  <si>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</si>
  <si>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</si>
  <si>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</si>
  <si>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</si>
  <si>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</si>
  <si>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</si>
  <si>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</si>
  <si>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</si>
  <si>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</si>
  <si>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</si>
  <si>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</si>
  <si>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</si>
  <si>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</si>
  <si>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</si>
  <si>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</si>
  <si>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</si>
  <si>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</si>
  <si>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</si>
  <si>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</si>
  <si>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</si>
  <si>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</si>
  <si>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</si>
  <si>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</si>
  <si>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</si>
  <si>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</si>
  <si>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</si>
  <si>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</si>
  <si>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</si>
  <si>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</si>
  <si>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</si>
  <si>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</si>
  <si>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</si>
  <si>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</si>
  <si>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</si>
  <si>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</si>
  <si>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</si>
  <si>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</si>
  <si>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</si>
  <si>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</si>
  <si>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</si>
  <si>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</si>
  <si>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</si>
  <si>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</si>
  <si>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</si>
  <si>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</si>
  <si>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</si>
  <si>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</si>
  <si>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</si>
  <si>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</si>
  <si>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</si>
  <si>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</si>
  <si>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</si>
  <si>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</si>
  <si>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</si>
  <si>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</si>
  <si>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</si>
  <si>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</si>
  <si>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</si>
  <si>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</si>
  <si>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</si>
  <si>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</si>
  <si>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</si>
  <si>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</si>
  <si>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</si>
  <si>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</si>
  <si>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</si>
  <si>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</si>
  <si>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</si>
  <si>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</si>
  <si>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</si>
  <si>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</si>
  <si>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</si>
  <si>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</si>
  <si>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</si>
  <si>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</si>
  <si>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</si>
  <si>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</si>
  <si>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</si>
  <si>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</si>
  <si>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</si>
  <si>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</si>
  <si>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</si>
  <si>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</si>
  <si>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</si>
  <si>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</si>
  <si>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</si>
  <si>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</si>
  <si>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</si>
  <si>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</si>
  <si>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</si>
  <si>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</si>
  <si>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</si>
  <si>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</si>
  <si>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</si>
  <si>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</si>
  <si>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</si>
  <si>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</si>
  <si>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</si>
  <si>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</si>
  <si>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</si>
  <si>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</si>
  <si>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</si>
  <si>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</si>
  <si>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</si>
  <si>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</si>
  <si>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</si>
  <si>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</si>
  <si>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</si>
  <si>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</si>
  <si>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</si>
  <si>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</si>
  <si>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</si>
  <si>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</si>
  <si>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</si>
  <si>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</si>
  <si>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</si>
  <si>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</si>
  <si>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</si>
  <si>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</si>
  <si>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</si>
  <si>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</si>
  <si>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</si>
  <si>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</si>
  <si>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</si>
  <si>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</si>
  <si>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</si>
  <si>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</si>
  <si>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</si>
  <si>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</si>
  <si>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</si>
  <si>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</si>
  <si>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</si>
  <si>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</si>
  <si>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</si>
  <si>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</si>
  <si>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</si>
  <si>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</si>
  <si>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</si>
  <si>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</si>
  <si>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</si>
  <si>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</si>
  <si>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</si>
  <si>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</si>
  <si>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</si>
  <si>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</si>
  <si>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</si>
  <si>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</si>
  <si>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</si>
  <si>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</si>
  <si>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</si>
  <si>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</si>
  <si>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</si>
  <si>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</si>
  <si>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</si>
  <si>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</si>
  <si>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</si>
  <si>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</si>
  <si>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</si>
  <si>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</si>
  <si>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</si>
  <si>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</si>
  <si>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</si>
  <si>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</si>
  <si>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</si>
  <si>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</si>
  <si>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</si>
  <si>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</si>
  <si>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</si>
  <si>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</si>
  <si>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</si>
  <si>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</si>
  <si>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</si>
  <si>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</si>
  <si>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</si>
  <si>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</si>
  <si>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</si>
  <si>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</si>
  <si>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</si>
  <si>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</si>
  <si>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</si>
  <si>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</si>
  <si>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</si>
  <si>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</si>
  <si>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</si>
  <si>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</si>
  <si>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</si>
  <si>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</si>
  <si>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</si>
  <si>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</si>
  <si>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</si>
  <si>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</si>
  <si>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</si>
  <si>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</si>
  <si>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</si>
  <si>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</si>
  <si>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</si>
  <si>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</si>
  <si>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</si>
  <si>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</si>
  <si>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</si>
  <si>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</si>
  <si>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</si>
  <si>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</si>
  <si>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</si>
  <si>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</si>
  <si>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</si>
  <si>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</si>
  <si>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</si>
  <si>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</si>
  <si>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</si>
  <si>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</si>
  <si>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</si>
  <si>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</si>
  <si>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</si>
  <si>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</si>
  <si>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</si>
  <si>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</si>
  <si>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</si>
  <si>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</si>
  <si>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</si>
  <si>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</si>
  <si>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</si>
  <si>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</si>
  <si>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</si>
  <si>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</si>
  <si>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</si>
  <si>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</si>
  <si>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</si>
  <si>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</si>
  <si>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</si>
  <si>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</si>
  <si>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</si>
  <si>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</si>
  <si>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</si>
  <si>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</si>
  <si>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</si>
  <si>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</si>
  <si>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</si>
  <si>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</si>
  <si>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</si>
  <si>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</si>
  <si>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</si>
  <si>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</si>
  <si>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</si>
  <si>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</si>
  <si>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</si>
  <si>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</si>
  <si>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</si>
  <si>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</si>
  <si>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</si>
  <si>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</si>
  <si>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</si>
  <si>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</si>
  <si>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</si>
  <si>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</si>
  <si>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</si>
  <si>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</si>
  <si>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</si>
  <si>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</si>
  <si>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</si>
  <si>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</si>
  <si>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</si>
  <si>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</si>
  <si>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</si>
  <si>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</si>
  <si>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</si>
  <si>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</si>
  <si>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</si>
  <si>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</si>
  <si>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</si>
  <si>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</si>
  <si>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</si>
  <si>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</si>
  <si>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</si>
  <si>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</si>
  <si>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</si>
  <si>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</si>
  <si>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</si>
  <si>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</si>
  <si>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</si>
  <si>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</si>
  <si>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</si>
  <si>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</si>
  <si>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</si>
  <si>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</si>
  <si>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</si>
  <si>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</si>
  <si>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</si>
  <si>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</si>
  <si>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</si>
  <si>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</si>
  <si>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</si>
  <si>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</si>
  <si>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</si>
  <si>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</si>
  <si>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</si>
  <si>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</si>
  <si>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</si>
  <si>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</si>
  <si>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</si>
  <si>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</si>
  <si>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</si>
  <si>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</si>
  <si>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</si>
  <si>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</si>
  <si>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</si>
  <si>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</si>
  <si>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</si>
  <si>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</si>
  <si>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</si>
  <si>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</si>
  <si>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</si>
  <si>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</si>
  <si>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</si>
  <si>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</si>
  <si>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</si>
  <si>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</si>
  <si>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</si>
  <si>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</si>
  <si>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</si>
  <si>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</si>
  <si>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</si>
  <si>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</si>
  <si>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</si>
  <si>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</si>
  <si>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</si>
  <si>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</si>
  <si>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</si>
  <si>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</si>
  <si>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</si>
  <si>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</si>
  <si>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</si>
  <si>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</si>
  <si>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</si>
  <si>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</si>
  <si>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</si>
  <si>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</si>
  <si>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</si>
  <si>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</si>
  <si>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</si>
  <si>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</si>
  <si>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</si>
  <si>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</si>
  <si>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</si>
  <si>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</si>
  <si>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</si>
  <si>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</si>
  <si>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</si>
  <si>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</si>
  <si>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</si>
  <si>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</si>
  <si>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</si>
  <si>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</si>
  <si>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</si>
  <si>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</si>
  <si>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</si>
  <si>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</si>
  <si>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</si>
  <si>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</si>
  <si>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</si>
  <si>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</si>
  <si>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</si>
  <si>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</si>
  <si>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</si>
  <si>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</si>
  <si>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</si>
  <si>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</si>
  <si>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</si>
  <si>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</si>
  <si>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</si>
  <si>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</si>
  <si>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</si>
  <si>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</si>
  <si>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</si>
  <si>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</si>
  <si>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</si>
  <si>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</si>
  <si>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</si>
  <si>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</si>
  <si>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</si>
  <si>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</si>
  <si>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</si>
  <si>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</si>
  <si>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</si>
  <si>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</si>
  <si>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</si>
  <si>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</si>
  <si>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</si>
  <si>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</si>
  <si>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</si>
  <si>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</si>
  <si>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</si>
  <si>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</si>
  <si>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</si>
  <si>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</si>
  <si>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</si>
  <si>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</si>
  <si>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</si>
  <si>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</si>
  <si>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</si>
  <si>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</si>
  <si>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</si>
  <si>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</si>
  <si>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</si>
  <si>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</si>
  <si>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</si>
  <si>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</si>
  <si>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</si>
  <si>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</si>
  <si>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</si>
  <si>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</si>
  <si>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</si>
  <si>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</si>
  <si>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</si>
  <si>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</si>
  <si>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</si>
  <si>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</si>
  <si>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</si>
  <si>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</si>
  <si>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</si>
  <si>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</si>
  <si>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</si>
  <si>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</si>
  <si>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</si>
  <si>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</si>
  <si>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</si>
  <si>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</si>
  <si>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</si>
  <si>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</si>
  <si>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</si>
  <si>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</si>
  <si>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</si>
  <si>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</si>
  <si>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</si>
  <si>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</si>
  <si>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</si>
  <si>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</si>
  <si>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</si>
  <si>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</si>
  <si>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</si>
  <si>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</si>
  <si>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</si>
  <si>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</si>
  <si>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</si>
  <si>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</si>
  <si>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</si>
  <si>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</si>
  <si>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</si>
  <si>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</si>
  <si>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</si>
  <si>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</si>
  <si>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</si>
  <si>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</si>
  <si>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</si>
  <si>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</si>
  <si>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</si>
  <si>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</si>
  <si>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</si>
  <si>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</si>
  <si>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</si>
  <si>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</si>
  <si>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</si>
  <si>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</si>
  <si>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</si>
  <si>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</si>
  <si>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</si>
  <si>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</si>
  <si>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</si>
  <si>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</si>
  <si>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</si>
  <si>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</si>
  <si>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</si>
  <si>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</si>
  <si>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</si>
  <si>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</si>
  <si>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</si>
  <si>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</si>
  <si>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</si>
  <si>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</si>
  <si>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</si>
  <si>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</si>
  <si>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</si>
  <si>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</si>
  <si>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</si>
  <si>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</si>
  <si>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</si>
  <si>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</si>
  <si>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</si>
  <si>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</si>
  <si>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</si>
  <si>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</si>
  <si>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</si>
  <si>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</si>
  <si>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</si>
  <si>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</si>
  <si>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</si>
  <si>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</si>
  <si>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</si>
  <si>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</si>
  <si>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</si>
  <si>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</si>
  <si>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</si>
  <si>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</si>
  <si>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</si>
  <si>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</si>
  <si>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</si>
  <si>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</si>
  <si>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</si>
  <si>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</si>
  <si>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</si>
  <si>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</si>
  <si>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</si>
  <si>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</si>
  <si>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</si>
  <si>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</si>
  <si>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</si>
  <si>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</si>
  <si>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</si>
  <si>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</si>
  <si>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</si>
  <si>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</si>
  <si>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</si>
  <si>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</si>
  <si>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</si>
  <si>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</si>
  <si>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</si>
  <si>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</si>
  <si>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</si>
  <si>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</si>
  <si>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</si>
  <si>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</si>
  <si>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</si>
  <si>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</si>
  <si>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</si>
  <si>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</si>
  <si>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</si>
  <si>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</si>
  <si>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</si>
  <si>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</si>
  <si>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</si>
  <si>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</si>
  <si>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</si>
  <si>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</si>
  <si>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</si>
  <si>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</si>
  <si>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</si>
  <si>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</si>
  <si>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</si>
  <si>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</si>
  <si>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</si>
  <si>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</si>
  <si>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</si>
  <si>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</si>
  <si>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</si>
  <si>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</si>
  <si>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</si>
  <si>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</si>
  <si>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</si>
  <si>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</si>
  <si>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</si>
  <si>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</si>
  <si>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</si>
  <si>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</si>
  <si>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</si>
  <si>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</si>
  <si>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</si>
  <si>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</si>
  <si>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</si>
  <si>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</si>
  <si>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</si>
  <si>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</si>
  <si>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</si>
  <si>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</si>
  <si>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</si>
  <si>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</si>
  <si>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</si>
  <si>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</si>
  <si>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</si>
  <si>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</si>
  <si>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</si>
  <si>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</si>
  <si>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</si>
  <si>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</si>
  <si>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</si>
  <si>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</si>
  <si>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</si>
  <si>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</si>
  <si>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</si>
  <si>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</si>
  <si>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</si>
  <si>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</si>
  <si>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</si>
  <si>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</si>
  <si>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</si>
  <si>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</si>
  <si>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</si>
  <si>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</si>
  <si>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</si>
  <si>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</si>
  <si>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</si>
  <si>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</si>
  <si>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</si>
  <si>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</si>
  <si>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</si>
  <si>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</si>
  <si>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</si>
  <si>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</si>
  <si>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</si>
  <si>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</si>
  <si>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</si>
  <si>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</si>
  <si>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</si>
  <si>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</si>
  <si>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</si>
  <si>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</si>
  <si>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</si>
  <si>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</si>
  <si>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</si>
  <si>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</si>
  <si>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</si>
  <si>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</si>
  <si>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</si>
  <si>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</si>
  <si>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</si>
  <si>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</si>
  <si>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</si>
  <si>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</si>
  <si>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</si>
  <si>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</si>
  <si>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</si>
  <si>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</si>
  <si>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</si>
  <si>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</si>
  <si>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</si>
  <si>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</si>
  <si>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</si>
  <si>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</si>
  <si>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</si>
  <si>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</si>
  <si>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</si>
  <si>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</si>
  <si>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</si>
  <si>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</si>
  <si>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</si>
  <si>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</si>
  <si>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</si>
  <si>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</si>
  <si>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</si>
  <si>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</si>
  <si>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</si>
  <si>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</si>
  <si>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</si>
  <si>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</si>
  <si>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</si>
  <si>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</si>
  <si>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</si>
  <si>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</si>
  <si>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</si>
  <si>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</si>
  <si>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</si>
  <si>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</si>
  <si>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</si>
  <si>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</si>
  <si>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</si>
  <si>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</si>
  <si>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</si>
  <si>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</si>
  <si>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</si>
  <si>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</si>
  <si>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</si>
  <si>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</si>
  <si>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</si>
  <si>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</si>
  <si>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</si>
  <si>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</si>
  <si>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</si>
  <si>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</si>
  <si>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</si>
  <si>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</si>
  <si>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</si>
  <si>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</si>
  <si>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</si>
  <si>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</si>
  <si>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</si>
  <si>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</si>
  <si>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</si>
  <si>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</si>
  <si>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</si>
  <si>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</si>
  <si>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</si>
  <si>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</si>
  <si>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</si>
  <si>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</si>
  <si>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</si>
  <si>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</si>
  <si>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</si>
  <si>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</si>
  <si>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</si>
  <si>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</si>
  <si>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</si>
  <si>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</si>
  <si>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</si>
  <si>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</si>
  <si>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</si>
  <si>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</si>
  <si>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</si>
  <si>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</si>
  <si>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</si>
  <si>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</si>
  <si>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</si>
  <si>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</si>
  <si>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</si>
  <si>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</si>
  <si>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</si>
  <si>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</si>
  <si>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</si>
  <si>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</si>
  <si>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</si>
  <si>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</si>
  <si>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</si>
  <si>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</si>
  <si>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</si>
  <si>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</si>
  <si>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</si>
  <si>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</si>
  <si>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</si>
  <si>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</si>
  <si>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</si>
  <si>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</si>
  <si>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</si>
  <si>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</si>
  <si>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</si>
  <si>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</si>
  <si>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</si>
  <si>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</si>
  <si>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</si>
  <si>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</si>
  <si>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</si>
  <si>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</si>
  <si>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</si>
  <si>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</si>
  <si>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</si>
  <si>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</si>
  <si>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</si>
  <si>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</si>
  <si>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</si>
  <si>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</si>
  <si>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</si>
  <si>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</si>
  <si>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</si>
  <si>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</si>
  <si>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</si>
  <si>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</si>
  <si>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</si>
  <si>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</si>
  <si>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</si>
  <si>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</si>
  <si>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</si>
  <si>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</si>
  <si>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</si>
  <si>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</si>
  <si>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</si>
  <si>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</si>
  <si>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</si>
  <si>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</si>
  <si>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</si>
  <si>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</si>
  <si>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</si>
  <si>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</si>
  <si>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</si>
  <si>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</si>
  <si>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</si>
  <si>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</si>
  <si>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</si>
  <si>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</si>
  <si>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</si>
  <si>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</si>
  <si>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</si>
  <si>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</si>
  <si>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</si>
  <si>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</si>
  <si>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</si>
  <si>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</si>
  <si>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</si>
  <si>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</si>
  <si>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</si>
  <si>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</si>
  <si>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</si>
  <si>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</si>
  <si>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</si>
  <si>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</si>
  <si>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</si>
  <si>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</si>
  <si>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</si>
  <si>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</si>
  <si>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</si>
  <si>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</si>
  <si>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</si>
  <si>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</si>
  <si>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</si>
  <si>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</si>
  <si>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</si>
  <si>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</si>
  <si>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</si>
  <si>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</si>
  <si>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</si>
  <si>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</si>
  <si>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</si>
  <si>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</si>
  <si>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</si>
  <si>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</si>
  <si>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</si>
  <si>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</si>
  <si>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</si>
  <si>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</si>
  <si>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</si>
  <si>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</si>
  <si>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</si>
  <si>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</si>
  <si>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</si>
  <si>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</si>
  <si>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</si>
  <si>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</si>
  <si>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</si>
  <si>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</si>
  <si>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</si>
  <si>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</si>
  <si>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</si>
  <si>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</si>
  <si>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</si>
  <si>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</si>
  <si>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</si>
  <si>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</si>
  <si>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</si>
  <si>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</si>
  <si>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</si>
  <si>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</si>
  <si>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</si>
  <si>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</si>
  <si>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</si>
  <si>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</si>
  <si>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</si>
  <si>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</si>
  <si>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</si>
  <si>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</si>
  <si>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</si>
  <si>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</si>
  <si>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</si>
  <si>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</si>
  <si>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</si>
  <si>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</si>
  <si>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</si>
  <si>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</si>
  <si>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</si>
  <si>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</si>
  <si>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</si>
  <si>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</si>
  <si>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</si>
  <si>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</si>
  <si>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</si>
  <si>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</si>
  <si>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</si>
  <si>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</si>
  <si>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</si>
  <si>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</si>
  <si>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</si>
  <si>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</si>
  <si>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</si>
  <si>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</si>
  <si>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</si>
  <si>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</si>
  <si>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</si>
  <si>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</si>
  <si>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</si>
  <si>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</si>
  <si>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</si>
  <si>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</si>
  <si>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</si>
  <si>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</si>
  <si>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</si>
  <si>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</si>
  <si>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</si>
  <si>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</si>
  <si>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</si>
  <si>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</si>
  <si>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</si>
  <si>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</si>
  <si>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</si>
  <si>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</si>
  <si>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</si>
  <si>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</si>
  <si>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</si>
  <si>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</si>
  <si>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</si>
  <si>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</si>
  <si>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</si>
  <si>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</si>
  <si>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</si>
  <si>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</si>
  <si>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</si>
  <si>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</si>
  <si>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</si>
  <si>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</si>
  <si>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</si>
  <si>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</si>
  <si>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</si>
  <si>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</si>
  <si>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</si>
  <si>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</si>
  <si>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</si>
  <si>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</si>
  <si>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</si>
  <si>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</si>
  <si>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</si>
  <si>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</si>
  <si>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</si>
  <si>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</si>
  <si>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</si>
  <si>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</si>
  <si>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</si>
  <si>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</si>
  <si>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</si>
  <si>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</si>
  <si>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</si>
  <si>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</si>
  <si>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</si>
  <si>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</si>
  <si>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</si>
  <si>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</si>
  <si>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</si>
  <si>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</si>
  <si>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</si>
  <si>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</si>
  <si>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</si>
  <si>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</si>
  <si>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</si>
  <si>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</si>
  <si>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</si>
  <si>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</si>
  <si>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</si>
  <si>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</si>
  <si>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</si>
  <si>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</si>
  <si>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</si>
  <si>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</si>
  <si>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</si>
  <si>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</si>
  <si>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</si>
  <si>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</si>
  <si>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</si>
  <si>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</si>
  <si>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</si>
  <si>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</si>
  <si>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</si>
  <si>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</si>
  <si>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</si>
  <si>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</si>
  <si>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</si>
  <si>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</si>
  <si>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</si>
  <si>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</si>
  <si>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</si>
  <si>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</si>
  <si>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</si>
  <si>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</si>
  <si>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</si>
  <si>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</si>
  <si>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</si>
  <si>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</si>
  <si>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</si>
  <si>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</si>
  <si>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</si>
  <si>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</si>
  <si>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</si>
  <si>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</si>
  <si>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</si>
  <si>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</si>
  <si>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</si>
  <si>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</si>
  <si>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</si>
  <si>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</si>
  <si>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</si>
  <si>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</si>
  <si>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</si>
  <si>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</si>
  <si>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</si>
  <si>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</si>
  <si>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</si>
  <si>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</si>
  <si>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</si>
  <si>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</si>
  <si>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</si>
  <si>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</si>
  <si>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</si>
  <si>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</si>
  <si>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</si>
  <si>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</si>
  <si>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</si>
  <si>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</si>
  <si>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</si>
  <si>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</si>
  <si>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</si>
  <si>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</si>
  <si>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</si>
  <si>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</si>
  <si>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</si>
  <si>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</si>
  <si>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</si>
  <si>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</si>
  <si>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</si>
  <si>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</si>
  <si>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</si>
  <si>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</si>
  <si>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</si>
  <si>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</si>
  <si>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</si>
  <si>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</si>
  <si>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</si>
  <si>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</si>
  <si>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</si>
  <si>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</si>
  <si>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</si>
  <si>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</si>
  <si>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</si>
  <si>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</si>
  <si>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</si>
  <si>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</si>
  <si>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</si>
  <si>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</si>
  <si>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</si>
  <si>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</si>
  <si>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</si>
  <si>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</si>
  <si>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</si>
  <si>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</si>
  <si>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</si>
  <si>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</si>
  <si>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</si>
  <si>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</si>
  <si>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</si>
  <si>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</si>
  <si>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</si>
  <si>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</si>
  <si>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</si>
  <si>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</si>
  <si>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</si>
  <si>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</si>
  <si>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</si>
  <si>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</si>
  <si>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</si>
  <si>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</si>
  <si>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</si>
  <si>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</si>
  <si>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</si>
  <si>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</si>
  <si>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</si>
  <si>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</si>
  <si>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</si>
  <si>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</si>
  <si>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</si>
  <si>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</si>
  <si>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</si>
  <si>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</si>
  <si>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</si>
  <si>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</si>
  <si>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</si>
  <si>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</si>
  <si>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</si>
  <si>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</si>
  <si>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</si>
  <si>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</si>
  <si>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</si>
  <si>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</si>
  <si>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</si>
  <si>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</si>
  <si>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</si>
  <si>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</si>
  <si>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</si>
  <si>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</si>
  <si>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</si>
  <si>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</si>
  <si>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</si>
  <si>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</si>
  <si>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</si>
  <si>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</si>
  <si>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</si>
  <si>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</si>
  <si>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</si>
  <si>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</si>
  <si>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</si>
  <si>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</si>
  <si>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</si>
  <si>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</si>
  <si>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</si>
  <si>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</si>
  <si>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</si>
  <si>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</si>
  <si>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</si>
  <si>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</si>
  <si>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</si>
  <si>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</si>
  <si>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</si>
  <si>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</si>
  <si>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</si>
  <si>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</si>
  <si>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</si>
  <si>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</si>
  <si>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</si>
  <si>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</si>
  <si>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</si>
  <si>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</si>
  <si>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</si>
  <si>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</si>
  <si>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</si>
  <si>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</si>
  <si>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</si>
  <si>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</si>
  <si>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</si>
  <si>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</si>
  <si>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</si>
  <si>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</si>
  <si>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</si>
  <si>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</si>
  <si>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</si>
  <si>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</si>
  <si>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</si>
  <si>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</si>
  <si>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</si>
  <si>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</si>
  <si>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</si>
  <si>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</si>
  <si>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</si>
  <si>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</si>
  <si>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</si>
  <si>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</si>
  <si>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</si>
  <si>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</si>
  <si>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</si>
  <si>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</si>
  <si>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</si>
  <si>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</si>
  <si>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</si>
  <si>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</si>
  <si>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</si>
  <si>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</si>
  <si>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</si>
  <si>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</si>
  <si>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</si>
  <si>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</si>
  <si>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</si>
  <si>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</si>
  <si>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</si>
  <si>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</si>
  <si>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</si>
  <si>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</si>
  <si>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</si>
  <si>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</si>
  <si>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</si>
  <si>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</si>
  <si>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</si>
  <si>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</si>
  <si>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</si>
  <si>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</si>
  <si>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</si>
  <si>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</si>
  <si>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</si>
  <si>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</si>
  <si>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</si>
  <si>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</si>
  <si>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</si>
  <si>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</si>
  <si>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</si>
  <si>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</si>
  <si>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</si>
  <si>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</si>
  <si>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</si>
  <si>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</si>
  <si>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</si>
  <si>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</si>
  <si>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</si>
  <si>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</si>
  <si>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</si>
  <si>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</si>
  <si>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</si>
  <si>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</si>
  <si>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</si>
  <si>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</si>
  <si>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</si>
  <si>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</si>
  <si>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</si>
  <si>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</si>
  <si>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</si>
  <si>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</si>
  <si>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</si>
  <si>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</si>
  <si>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</si>
  <si>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</si>
  <si>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</si>
  <si>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</si>
  <si>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</si>
  <si>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</si>
  <si>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</si>
  <si>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</si>
  <si>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</si>
  <si>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</si>
  <si>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</si>
  <si>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</si>
  <si>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</si>
  <si>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</si>
  <si>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</si>
  <si>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</si>
  <si>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</si>
  <si>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</si>
  <si>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</si>
  <si>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</si>
  <si>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</si>
  <si>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</si>
  <si>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</si>
  <si>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</si>
  <si>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</si>
  <si>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</si>
  <si>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</si>
  <si>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</si>
  <si>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</si>
  <si>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</si>
  <si>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</si>
  <si>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</si>
  <si>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</si>
  <si>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</si>
  <si>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</si>
  <si>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</si>
  <si>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</si>
  <si>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</si>
  <si>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</si>
  <si>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</si>
  <si>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</si>
  <si>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</si>
  <si>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</si>
  <si>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</si>
  <si>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</si>
  <si>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</si>
  <si>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</si>
  <si>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</si>
  <si>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</si>
  <si>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</si>
  <si>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</si>
  <si>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</si>
  <si>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</si>
  <si>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</si>
  <si>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</si>
  <si>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</si>
  <si>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</si>
  <si>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</si>
  <si>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</si>
  <si>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</si>
  <si>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</si>
  <si>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</si>
  <si>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</si>
  <si>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</si>
  <si>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</si>
  <si>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</si>
  <si>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</si>
  <si>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</si>
  <si>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</si>
  <si>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</si>
  <si>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</si>
  <si>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</si>
  <si>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</si>
  <si>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</si>
  <si>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</si>
  <si>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</si>
  <si>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</si>
  <si>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</si>
  <si>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</si>
  <si>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</si>
  <si>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</si>
  <si>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</si>
  <si>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</si>
  <si>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</si>
  <si>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</si>
  <si>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</si>
  <si>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</si>
  <si>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</si>
  <si>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</si>
  <si>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</si>
  <si>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</si>
  <si>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</si>
  <si>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</si>
  <si>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</si>
  <si>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</si>
  <si>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</si>
  <si>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</si>
  <si>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</si>
  <si>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</si>
  <si>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</si>
  <si>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</si>
  <si>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</si>
  <si>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</si>
  <si>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</si>
  <si>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</si>
  <si>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</si>
  <si>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</si>
  <si>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</si>
  <si>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</si>
  <si>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</si>
  <si>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</si>
  <si>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</si>
  <si>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</si>
  <si>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</si>
  <si>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</si>
  <si>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</si>
  <si>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</si>
  <si>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</si>
  <si>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</si>
  <si>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</si>
  <si>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</si>
  <si>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</si>
  <si>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</si>
  <si>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</si>
  <si>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</si>
  <si>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</si>
  <si>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</si>
  <si>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</si>
  <si>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</si>
  <si>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</si>
  <si>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</si>
  <si>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</si>
  <si>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</si>
  <si>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</si>
  <si>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</si>
  <si>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</si>
  <si>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</si>
  <si>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</si>
  <si>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</si>
  <si>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</si>
  <si>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</si>
  <si>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</si>
  <si>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</si>
  <si>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</si>
  <si>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</si>
  <si>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</si>
  <si>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</si>
  <si>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</si>
  <si>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</si>
  <si>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</si>
  <si>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</si>
  <si>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</si>
  <si>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</si>
  <si>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</si>
  <si>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</si>
  <si>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</si>
  <si>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</si>
  <si>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</si>
  <si>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</si>
  <si>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</si>
  <si>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</si>
  <si>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</si>
  <si>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</si>
  <si>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</si>
  <si>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</si>
  <si>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</si>
  <si>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</si>
  <si>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</si>
  <si>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</si>
  <si>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</si>
  <si>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</si>
  <si>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</si>
  <si>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</si>
  <si>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</si>
  <si>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</si>
  <si>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</si>
  <si>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</si>
  <si>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</si>
  <si>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</si>
  <si>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</si>
  <si>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</si>
  <si>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</si>
  <si>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</si>
  <si>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</si>
  <si>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</si>
  <si>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</si>
  <si>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</si>
  <si>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</si>
  <si>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</si>
  <si>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</si>
  <si>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</si>
  <si>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</si>
  <si>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</si>
  <si>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</si>
  <si>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</si>
  <si>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</si>
  <si>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</si>
  <si>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</si>
  <si>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</si>
  <si>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</si>
  <si>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</si>
  <si>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</si>
  <si>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</si>
  <si>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</si>
  <si>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</si>
  <si>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</si>
  <si>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</si>
  <si>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</si>
  <si>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</si>
  <si>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</si>
  <si>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</si>
  <si>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</si>
  <si>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</si>
  <si>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</si>
  <si>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</si>
  <si>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</si>
  <si>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</si>
  <si>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</si>
  <si>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</si>
  <si>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</si>
  <si>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</si>
  <si>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</si>
  <si>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</si>
  <si>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</si>
  <si>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</si>
  <si>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</si>
  <si>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</si>
  <si>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</si>
  <si>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</si>
  <si>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</si>
  <si>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</si>
  <si>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</si>
  <si>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</si>
  <si>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</si>
  <si>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</si>
  <si>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</si>
  <si>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</si>
  <si>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</si>
  <si>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</si>
  <si>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</si>
  <si>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</si>
  <si>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</si>
  <si>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</si>
  <si>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</si>
  <si>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</si>
  <si>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</si>
  <si>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</si>
  <si>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</si>
  <si>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</si>
  <si>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</si>
  <si>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</si>
  <si>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</si>
  <si>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</si>
  <si>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</si>
  <si>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</si>
  <si>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</si>
  <si>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</si>
  <si>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</si>
  <si>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</si>
  <si>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</si>
  <si>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</si>
  <si>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</si>
  <si>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</si>
  <si>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</si>
  <si>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</si>
  <si>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</si>
  <si>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</si>
  <si>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</si>
  <si>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</si>
  <si>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</si>
  <si>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</si>
  <si>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</si>
  <si>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</si>
  <si>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</si>
  <si>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</si>
  <si>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</si>
  <si>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</si>
  <si>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</si>
  <si>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</si>
  <si>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</si>
  <si>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</si>
  <si>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</si>
  <si>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</si>
  <si>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</si>
  <si>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</si>
  <si>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</si>
  <si>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</si>
  <si>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</si>
  <si>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</si>
  <si>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</si>
  <si>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</si>
  <si>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</si>
  <si>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</si>
  <si>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</si>
  <si>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</si>
  <si>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</si>
  <si>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</si>
  <si>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</si>
  <si>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</si>
  <si>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</si>
  <si>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</si>
  <si>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</si>
  <si>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</si>
  <si>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</si>
  <si>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</si>
  <si>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</si>
  <si>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</si>
  <si>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</si>
  <si>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</si>
  <si>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</si>
  <si>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</si>
  <si>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</si>
  <si>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</si>
  <si>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</si>
  <si>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</si>
  <si>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</si>
  <si>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</si>
  <si>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</si>
  <si>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</si>
  <si>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</si>
  <si>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</si>
  <si>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</si>
  <si>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</si>
  <si>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</si>
  <si>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</si>
  <si>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</si>
  <si>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</si>
  <si>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</si>
  <si>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</si>
  <si>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</si>
  <si>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</si>
  <si>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</si>
  <si>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</si>
  <si>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</si>
  <si>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</si>
  <si>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</si>
  <si>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</si>
  <si>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</si>
  <si>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</si>
  <si>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</si>
  <si>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</si>
  <si>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</si>
  <si>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</si>
  <si>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</si>
  <si>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</si>
  <si>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</si>
  <si>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</si>
  <si>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</si>
  <si>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</si>
  <si>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</si>
  <si>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</si>
  <si>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</si>
  <si>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</si>
  <si>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</si>
  <si>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</si>
  <si>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</si>
  <si>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</si>
  <si>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</si>
  <si>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</si>
  <si>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</si>
  <si>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</si>
  <si>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</si>
  <si>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</si>
  <si>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</si>
  <si>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</si>
  <si>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</si>
  <si>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</si>
  <si>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</si>
  <si>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</si>
  <si>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</si>
  <si>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</si>
  <si>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</si>
  <si>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</si>
  <si>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</si>
  <si>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</si>
  <si>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</si>
  <si>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</si>
  <si>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</si>
  <si>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</si>
  <si>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</si>
  <si>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</si>
  <si>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</si>
  <si>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</si>
  <si>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</si>
  <si>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</si>
  <si>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</si>
  <si>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</si>
  <si>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</si>
  <si>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</si>
  <si>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</si>
  <si>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</si>
  <si>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</si>
  <si>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</si>
  <si>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</si>
  <si>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</si>
  <si>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</si>
  <si>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</si>
  <si>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</si>
  <si>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</si>
  <si>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</si>
  <si>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</si>
  <si>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</si>
  <si>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</si>
  <si>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</si>
  <si>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</si>
  <si>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</si>
  <si>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</si>
  <si>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</si>
  <si>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</si>
  <si>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</si>
  <si>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</si>
  <si>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</si>
  <si>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</si>
  <si>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</si>
  <si>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</si>
  <si>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</si>
  <si>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</si>
  <si>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</si>
  <si>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</si>
  <si>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</si>
  <si>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</si>
  <si>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</si>
  <si>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</si>
  <si>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</si>
  <si>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</si>
  <si>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</si>
  <si>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</si>
  <si>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</si>
  <si>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</si>
  <si>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</si>
  <si>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</si>
  <si>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</si>
  <si>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</si>
  <si>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</si>
  <si>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</si>
  <si>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</si>
  <si>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</si>
  <si>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</si>
  <si>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</si>
  <si>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</si>
  <si>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</si>
  <si>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</si>
  <si>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</si>
  <si>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</si>
  <si>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</si>
  <si>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</si>
  <si>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</si>
  <si>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</si>
  <si>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</si>
  <si>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</si>
  <si>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</si>
  <si>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</si>
  <si>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</si>
  <si>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</si>
  <si>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</si>
  <si>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</si>
  <si>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</si>
  <si>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</si>
  <si>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</si>
  <si>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</si>
  <si>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</si>
  <si>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</si>
  <si>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</si>
  <si>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</si>
  <si>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</si>
  <si>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</si>
  <si>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</si>
  <si>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</si>
  <si>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</si>
  <si>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</si>
  <si>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</si>
  <si>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</si>
  <si>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</si>
  <si>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</si>
  <si>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</si>
  <si>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</si>
  <si>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</si>
  <si>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</si>
  <si>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</si>
  <si>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</si>
  <si>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</si>
  <si>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</si>
  <si>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</si>
  <si>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</si>
  <si>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</si>
  <si>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</si>
  <si>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</si>
  <si>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</si>
  <si>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</si>
  <si>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</si>
  <si>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</si>
  <si>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</si>
  <si>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</si>
  <si>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</si>
  <si>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</si>
  <si>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</si>
  <si>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</si>
  <si>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</si>
  <si>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</si>
  <si>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</si>
  <si>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</si>
  <si>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</si>
  <si>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</si>
  <si>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</si>
  <si>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</si>
  <si>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</si>
  <si>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</si>
  <si>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</si>
  <si>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</si>
  <si>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</si>
  <si>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</si>
  <si>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</si>
  <si>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</si>
  <si>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</si>
  <si>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</si>
  <si>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</si>
  <si>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</si>
  <si>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</si>
  <si>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</si>
  <si>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</si>
  <si>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</si>
  <si>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</si>
  <si>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</si>
  <si>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</si>
  <si>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</si>
  <si>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</si>
  <si>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</si>
  <si>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</si>
  <si>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</si>
  <si>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</si>
  <si>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</si>
  <si>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</si>
  <si>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</si>
  <si>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</si>
  <si>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</si>
  <si>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</si>
  <si>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</si>
  <si>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</si>
  <si>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</si>
  <si>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</si>
  <si>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</si>
  <si>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</si>
  <si>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</si>
  <si>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</si>
  <si>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</si>
  <si>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</si>
  <si>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</si>
  <si>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</si>
  <si>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</si>
  <si>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</si>
  <si>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</si>
  <si>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</si>
  <si>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</si>
  <si>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</si>
  <si>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</si>
  <si>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</si>
  <si>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</si>
  <si>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</si>
  <si>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</si>
  <si>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</si>
  <si>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</si>
  <si>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</si>
  <si>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</si>
  <si>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</si>
  <si>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</si>
  <si>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</si>
  <si>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</si>
  <si>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</si>
  <si>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</si>
  <si>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</si>
  <si>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</si>
  <si>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</si>
  <si>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</si>
  <si>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</si>
  <si>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</si>
  <si>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</si>
  <si>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</si>
  <si>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</si>
  <si>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</si>
  <si>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</si>
  <si>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</si>
  <si>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</si>
  <si>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</si>
  <si>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</si>
  <si>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</si>
  <si>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</si>
  <si>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</si>
  <si>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</si>
  <si>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</si>
  <si>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</si>
  <si>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</si>
  <si>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</si>
  <si>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</si>
  <si>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</si>
  <si>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</si>
  <si>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</si>
  <si>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</si>
  <si>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</si>
  <si>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</si>
  <si>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</si>
  <si>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</si>
  <si>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</si>
  <si>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</si>
  <si>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</si>
  <si>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</si>
  <si>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</si>
  <si>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</si>
  <si>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</si>
  <si>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</si>
  <si>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</si>
  <si>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</si>
  <si>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</si>
  <si>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</si>
  <si>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</si>
  <si>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</si>
  <si>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</si>
  <si>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</si>
  <si>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</si>
  <si>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</si>
  <si>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</si>
  <si>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</si>
  <si>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</si>
  <si>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</si>
  <si>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</si>
  <si>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</si>
  <si>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</si>
  <si>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</si>
  <si>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</si>
  <si>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</si>
  <si>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</si>
  <si>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</si>
  <si>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</si>
  <si>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</si>
  <si>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</si>
  <si>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</si>
  <si>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</si>
  <si>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</si>
  <si>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</si>
  <si>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</si>
  <si>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</si>
  <si>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</si>
  <si>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</si>
  <si>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</si>
  <si>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</si>
  <si>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</si>
  <si>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</si>
  <si>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</si>
  <si>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</si>
  <si>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</si>
  <si>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</si>
  <si>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</si>
  <si>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</si>
  <si>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</si>
  <si>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</si>
  <si>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</si>
  <si>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</si>
  <si>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</si>
  <si>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</si>
  <si>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</si>
  <si>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</si>
  <si>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</si>
  <si>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</si>
  <si>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</si>
  <si>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</si>
  <si>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</si>
  <si>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</si>
  <si>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</si>
  <si>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</si>
  <si>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</si>
  <si>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</si>
  <si>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</si>
  <si>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</si>
  <si>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</si>
  <si>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</si>
  <si>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</si>
  <si>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</si>
  <si>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</si>
  <si>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</si>
  <si>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</si>
  <si>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</si>
  <si>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</si>
  <si>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</si>
  <si>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</si>
  <si>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</si>
  <si>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</si>
  <si>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</si>
  <si>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</si>
  <si>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</si>
  <si>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</si>
  <si>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</si>
  <si>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</si>
  <si>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</si>
  <si>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</si>
  <si>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</si>
  <si>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</si>
  <si>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</si>
  <si>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</si>
  <si>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</si>
  <si>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</si>
  <si>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</si>
  <si>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</si>
  <si>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</si>
  <si>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</si>
  <si>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</si>
  <si>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</si>
  <si>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</si>
  <si>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</si>
  <si>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</si>
  <si>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</si>
  <si>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</si>
  <si>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</si>
  <si>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</si>
  <si>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</si>
  <si>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</si>
  <si>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</si>
  <si>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</si>
  <si>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</si>
  <si>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</si>
  <si>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</si>
  <si>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</si>
  <si>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</si>
  <si>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</si>
  <si>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</si>
  <si>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</si>
  <si>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</si>
  <si>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</si>
  <si>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</si>
  <si>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</si>
  <si>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</si>
  <si>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</si>
  <si>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</si>
  <si>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</si>
  <si>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</si>
  <si>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</si>
  <si>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</si>
  <si>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</si>
  <si>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</si>
  <si>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</si>
  <si>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</si>
  <si>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</si>
  <si>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</si>
  <si>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</si>
  <si>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</si>
  <si>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</si>
  <si>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</si>
  <si>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</si>
  <si>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</si>
  <si>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</si>
  <si>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</si>
  <si>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</si>
  <si>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</si>
  <si>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</si>
  <si>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</si>
  <si>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</si>
  <si>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</si>
  <si>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</si>
  <si>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</si>
  <si>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</si>
  <si>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</si>
  <si>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</si>
  <si>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</si>
  <si>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</si>
  <si>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</si>
  <si>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</si>
  <si>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</si>
  <si>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</si>
  <si>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</si>
  <si>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</si>
  <si>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</si>
  <si>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</si>
  <si>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</si>
  <si>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</si>
  <si>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</si>
  <si>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</si>
  <si>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</si>
  <si>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</si>
  <si>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</si>
  <si>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</si>
  <si>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</si>
  <si>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</si>
  <si>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</si>
  <si>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</si>
  <si>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</si>
  <si>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</si>
  <si>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</si>
  <si>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</si>
  <si>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</si>
  <si>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</si>
  <si>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</si>
  <si>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</si>
  <si>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</si>
  <si>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</si>
  <si>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</si>
  <si>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</si>
  <si>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</si>
  <si>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</si>
  <si>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</si>
  <si>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</si>
  <si>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</si>
  <si>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</si>
  <si>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</si>
  <si>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</si>
  <si>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</si>
  <si>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</si>
  <si>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</si>
  <si>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</si>
  <si>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</si>
  <si>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</si>
  <si>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</si>
  <si>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</si>
  <si>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</si>
  <si>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</si>
  <si>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</si>
  <si>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</si>
  <si>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</si>
  <si>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</si>
  <si>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</si>
  <si>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</si>
  <si>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</si>
  <si>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</si>
  <si>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</si>
  <si>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</si>
  <si>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</si>
  <si>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</si>
  <si>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</si>
  <si>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</si>
  <si>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</si>
  <si>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</si>
  <si>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</si>
  <si>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</si>
  <si>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</si>
  <si>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</si>
  <si>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</si>
  <si>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</si>
  <si>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</si>
  <si>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</si>
  <si>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</si>
  <si>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</si>
  <si>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</si>
  <si>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</si>
  <si>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</si>
  <si>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</si>
  <si>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</si>
  <si>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</si>
  <si>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</si>
  <si>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</si>
  <si>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</si>
  <si>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</si>
  <si>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</si>
  <si>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</si>
  <si>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</si>
  <si>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</si>
  <si>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</si>
  <si>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</si>
  <si>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</si>
  <si>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</si>
  <si>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</si>
  <si>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</si>
  <si>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</si>
  <si>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</si>
  <si>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</si>
  <si>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</si>
  <si>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</si>
  <si>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</si>
  <si>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</si>
  <si>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</si>
  <si>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</si>
  <si>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</si>
  <si>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</si>
  <si>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</si>
  <si>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</si>
  <si>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</si>
  <si>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</si>
  <si>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</si>
  <si>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</si>
  <si>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</si>
  <si>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</si>
  <si>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</si>
  <si>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</si>
  <si>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</si>
  <si>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</si>
  <si>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</si>
  <si>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</si>
  <si>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</si>
  <si>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</si>
  <si>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</si>
  <si>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</si>
  <si>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</si>
  <si>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</si>
  <si>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</si>
  <si>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</si>
  <si>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</si>
  <si>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</si>
  <si>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</si>
  <si>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</si>
  <si>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</si>
  <si>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</si>
  <si>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</si>
  <si>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</si>
  <si>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</si>
  <si>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</si>
  <si>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</si>
  <si>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</si>
  <si>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</si>
  <si>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</si>
  <si>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</si>
  <si>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</si>
  <si>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</si>
  <si>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</si>
  <si>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</si>
  <si>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</si>
  <si>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</si>
  <si>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</si>
  <si>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</si>
  <si>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</si>
  <si>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</si>
  <si>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</si>
  <si>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</si>
  <si>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</si>
  <si>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</si>
  <si>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</si>
  <si>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</si>
  <si>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</si>
  <si>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</si>
  <si>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</si>
  <si>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</si>
  <si>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</si>
  <si>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</si>
  <si>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</si>
  <si>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</si>
  <si>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</si>
  <si>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</si>
  <si>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</si>
  <si>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</si>
  <si>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</si>
  <si>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</si>
  <si>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</si>
  <si>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</si>
  <si>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</si>
  <si>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</si>
  <si>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</si>
  <si>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</si>
  <si>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</si>
  <si>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</si>
  <si>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</si>
  <si>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</si>
  <si>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</si>
  <si>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</si>
  <si>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</si>
  <si>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</si>
  <si>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</si>
  <si>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</si>
  <si>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</si>
  <si>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</si>
  <si>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</si>
  <si>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</si>
  <si>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</si>
  <si>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</si>
  <si>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</si>
  <si>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</si>
  <si>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</si>
  <si>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</si>
  <si>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</si>
  <si>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</si>
  <si>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</si>
  <si>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</si>
  <si>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</si>
  <si>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</si>
  <si>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</si>
  <si>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</si>
  <si>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</si>
  <si>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</si>
  <si>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</si>
  <si>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</si>
  <si>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</si>
  <si>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</si>
  <si>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</si>
  <si>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</si>
  <si>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</si>
  <si>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</si>
  <si>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</si>
  <si>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</si>
  <si>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</si>
  <si>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</si>
  <si>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</si>
  <si>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</si>
  <si>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</si>
  <si>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</si>
  <si>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</si>
  <si>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</si>
  <si>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</si>
  <si>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</si>
  <si>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</si>
  <si>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</si>
  <si>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</si>
  <si>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</si>
  <si>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</si>
  <si>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</si>
  <si>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</si>
  <si>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</si>
  <si>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</si>
  <si>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</si>
  <si>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</si>
  <si>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</si>
  <si>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</si>
  <si>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</si>
  <si>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</si>
  <si>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</si>
  <si>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</si>
  <si>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</si>
  <si>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</si>
  <si>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</si>
  <si>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</si>
  <si>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</si>
  <si>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</si>
  <si>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</si>
  <si>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</si>
  <si>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</si>
  <si>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</si>
  <si>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</si>
  <si>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</si>
  <si>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</si>
  <si>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</si>
  <si>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</si>
  <si>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</si>
  <si>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</si>
  <si>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</si>
  <si>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</si>
  <si>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</si>
  <si>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</si>
  <si>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</si>
  <si>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</si>
  <si>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</si>
  <si>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</si>
  <si>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</si>
  <si>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</si>
  <si>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</si>
  <si>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</si>
  <si>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</si>
  <si>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</si>
  <si>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</si>
  <si>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</si>
  <si>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</si>
  <si>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</si>
  <si>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</si>
  <si>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</si>
  <si>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</si>
  <si>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</si>
  <si>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</si>
  <si>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</si>
  <si>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</si>
  <si>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</si>
  <si>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</si>
  <si>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</si>
  <si>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</si>
  <si>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</si>
  <si>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</si>
  <si>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</si>
  <si>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</si>
  <si>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</si>
  <si>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</si>
  <si>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</si>
  <si>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</si>
  <si>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</si>
  <si>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</si>
  <si>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</si>
  <si>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</si>
  <si>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</si>
  <si>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</si>
  <si>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</si>
  <si>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</si>
  <si>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</si>
  <si>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</si>
  <si>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</si>
  <si>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</si>
  <si>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</si>
  <si>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</si>
  <si>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</si>
  <si>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</si>
  <si>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</si>
  <si>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</si>
  <si>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</si>
  <si>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</si>
  <si>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</si>
  <si>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</si>
  <si>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</si>
  <si>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</si>
  <si>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</si>
  <si>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</si>
  <si>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</si>
  <si>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</si>
  <si>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</si>
  <si>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</si>
  <si>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</si>
  <si>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</si>
  <si>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</si>
  <si>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</si>
  <si>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</si>
  <si>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</si>
  <si>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</si>
  <si>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</si>
  <si>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</si>
  <si>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</si>
  <si>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</si>
  <si>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</si>
  <si>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</si>
  <si>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</si>
  <si>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</si>
  <si>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</si>
  <si>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</si>
  <si>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</si>
  <si>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</si>
  <si>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</si>
  <si>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</si>
  <si>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</si>
  <si>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</si>
  <si>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</si>
  <si>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</si>
  <si>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</si>
  <si>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</si>
  <si>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</si>
  <si>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</si>
  <si>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</si>
  <si>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</si>
  <si>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</si>
  <si>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</si>
  <si>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</si>
  <si>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</si>
  <si>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</si>
  <si>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</si>
  <si>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</si>
  <si>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</si>
  <si>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</si>
  <si>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</si>
  <si>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</si>
  <si>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</si>
  <si>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</si>
  <si>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</si>
  <si>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</si>
  <si>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</si>
  <si>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</si>
  <si>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</si>
  <si>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</si>
  <si>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</si>
  <si>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</si>
  <si>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</si>
  <si>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</si>
  <si>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</si>
  <si>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</si>
  <si>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</si>
  <si>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</si>
  <si>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</si>
  <si>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</si>
  <si>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</si>
  <si>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</si>
  <si>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</si>
  <si>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</si>
  <si>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</si>
  <si>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</si>
  <si>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</si>
  <si>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</si>
  <si>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</si>
  <si>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</si>
  <si>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</si>
  <si>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</si>
  <si>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</si>
  <si>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</si>
  <si>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</si>
  <si>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</si>
  <si>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</si>
  <si>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</si>
  <si>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</si>
  <si>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</si>
  <si>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</si>
  <si>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</si>
  <si>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</si>
  <si>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</si>
  <si>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</si>
  <si>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</si>
  <si>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</si>
  <si>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</si>
  <si>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</si>
  <si>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</si>
  <si>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</si>
  <si>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</si>
  <si>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</si>
  <si>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</si>
  <si>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</si>
  <si>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</si>
  <si>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</si>
  <si>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</si>
  <si>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</si>
  <si>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</si>
  <si>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</si>
  <si>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</si>
  <si>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</si>
  <si>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</si>
  <si>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</si>
  <si>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</si>
  <si>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</si>
  <si>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</si>
  <si>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</si>
  <si>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</si>
  <si>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</si>
  <si>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</si>
  <si>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</si>
  <si>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</si>
  <si>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</si>
  <si>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</si>
  <si>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</si>
  <si>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</si>
  <si>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</si>
  <si>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</si>
  <si>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</si>
  <si>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</si>
  <si>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</si>
  <si>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</si>
  <si>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</si>
  <si>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</si>
  <si>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</si>
  <si>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</si>
  <si>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</si>
  <si>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</si>
  <si>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</si>
  <si>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</si>
  <si>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</si>
  <si>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</si>
  <si>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</si>
  <si>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</si>
  <si>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</si>
  <si>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</si>
  <si>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</si>
  <si>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</si>
  <si>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</si>
  <si>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</si>
  <si>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</si>
  <si>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</si>
  <si>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</si>
  <si>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</si>
  <si>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</si>
  <si>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</si>
  <si>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</si>
  <si>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</si>
  <si>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</si>
  <si>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</si>
  <si>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</si>
  <si>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</si>
  <si>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</si>
  <si>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</si>
  <si>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</si>
  <si>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</si>
  <si>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</si>
  <si>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</si>
  <si>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</si>
  <si>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</si>
  <si>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</si>
  <si>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</si>
  <si>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</si>
  <si>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</si>
  <si>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</si>
  <si>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</si>
  <si>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</si>
  <si>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</si>
  <si>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</si>
  <si>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</si>
  <si>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</si>
  <si>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</si>
  <si>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</si>
  <si>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</si>
  <si>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</si>
  <si>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</si>
  <si>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</si>
  <si>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</si>
  <si>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</si>
  <si>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</si>
  <si>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</si>
  <si>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</si>
  <si>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</si>
  <si>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</si>
  <si>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</si>
  <si>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</si>
  <si>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</si>
  <si>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</si>
  <si>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</si>
  <si>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</si>
  <si>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</si>
  <si>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</si>
  <si>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</si>
  <si>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</si>
  <si>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</si>
  <si>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</si>
  <si>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</si>
  <si>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</si>
  <si>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</si>
  <si>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</si>
  <si>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</si>
  <si>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</si>
  <si>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</si>
  <si>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</si>
  <si>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</si>
  <si>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</si>
  <si>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</si>
  <si>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</si>
  <si>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</si>
  <si>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</si>
  <si>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</si>
  <si>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</si>
  <si>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</si>
  <si>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</si>
  <si>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</si>
  <si>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</si>
  <si>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</si>
  <si>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</si>
  <si>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</si>
  <si>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</si>
  <si>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</si>
  <si>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</si>
  <si>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</si>
  <si>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</si>
  <si>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</si>
  <si>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</si>
  <si>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</si>
  <si>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</si>
  <si>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</si>
  <si>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</si>
  <si>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</si>
  <si>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</si>
  <si>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</si>
  <si>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</si>
  <si>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</si>
  <si>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</si>
  <si>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</si>
  <si>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</si>
  <si>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</si>
  <si>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</si>
  <si>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</si>
  <si>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</si>
  <si>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</si>
  <si>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</si>
  <si>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</si>
  <si>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</si>
  <si>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</si>
  <si>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</si>
  <si>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</si>
  <si>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</si>
  <si>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</si>
  <si>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</si>
  <si>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</si>
  <si>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</si>
  <si>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</si>
  <si>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</si>
  <si>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</si>
  <si>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</si>
  <si>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</si>
  <si>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</si>
  <si>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</si>
  <si>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</si>
  <si>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</si>
  <si>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</si>
  <si>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</si>
  <si>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</si>
  <si>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</si>
  <si>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</si>
  <si>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</si>
  <si>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</si>
  <si>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</si>
  <si>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</si>
  <si>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</si>
  <si>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</si>
  <si>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</si>
  <si>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</si>
  <si>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</si>
  <si>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</si>
  <si>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</si>
  <si>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</si>
  <si>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</si>
  <si>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</si>
  <si>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</si>
  <si>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</si>
  <si>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</si>
  <si>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</si>
  <si>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</si>
  <si>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</si>
  <si>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</si>
  <si>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</si>
  <si>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</si>
  <si>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</si>
  <si>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</si>
  <si>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</si>
  <si>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</si>
  <si>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</si>
  <si>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</si>
  <si>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</si>
  <si>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</si>
  <si>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</si>
  <si>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</si>
  <si>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</si>
  <si>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</si>
  <si>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</si>
  <si>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</si>
  <si>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</si>
  <si>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</si>
  <si>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</si>
  <si>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</si>
  <si>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</si>
  <si>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</si>
  <si>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</si>
  <si>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</si>
  <si>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</si>
  <si>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</si>
  <si>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</si>
  <si>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</si>
  <si>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</si>
  <si>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</si>
  <si>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</si>
  <si>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</si>
  <si>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</si>
  <si>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</si>
  <si>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</si>
  <si>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</si>
  <si>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</si>
  <si>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</si>
  <si>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</si>
  <si>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</si>
  <si>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</si>
  <si>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</si>
  <si>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</si>
  <si>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</si>
  <si>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</si>
  <si>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</si>
  <si>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</si>
  <si>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</si>
  <si>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</si>
  <si>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</si>
  <si>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</si>
  <si>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</si>
  <si>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</si>
  <si>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</si>
  <si>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</si>
  <si>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</si>
  <si>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</si>
  <si>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</si>
  <si>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</si>
  <si>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</si>
  <si>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</si>
  <si>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</si>
  <si>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</si>
  <si>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</si>
  <si>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</si>
  <si>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</si>
  <si>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</si>
  <si>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</si>
  <si>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</si>
  <si>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</si>
  <si>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</si>
  <si>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</si>
  <si>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</si>
  <si>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</si>
  <si>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</si>
  <si>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</si>
  <si>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</si>
  <si>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</si>
  <si>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</si>
  <si>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</si>
  <si>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</si>
  <si>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</si>
  <si>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</si>
  <si>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</si>
  <si>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</si>
  <si>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</si>
  <si>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</si>
  <si>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</si>
  <si>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</si>
  <si>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</si>
  <si>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</si>
  <si>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</si>
  <si>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</si>
  <si>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</si>
  <si>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</si>
  <si>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</si>
  <si>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</si>
  <si>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</si>
  <si>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</si>
  <si>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</si>
  <si>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</si>
  <si>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</si>
  <si>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</si>
  <si>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</si>
  <si>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</si>
  <si>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</si>
  <si>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</si>
  <si>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</si>
  <si>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</si>
  <si>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</si>
  <si>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</si>
  <si>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</si>
  <si>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</si>
  <si>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</si>
  <si>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</si>
  <si>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</si>
  <si>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</si>
  <si>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</si>
  <si>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</si>
  <si>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</si>
  <si>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</si>
  <si>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</si>
  <si>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</si>
  <si>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</si>
  <si>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</si>
  <si>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</si>
  <si>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</si>
  <si>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</si>
  <si>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</si>
  <si>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</si>
  <si>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</si>
  <si>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</si>
  <si>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</si>
  <si>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</si>
  <si>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</si>
  <si>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</si>
  <si>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</si>
  <si>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</si>
  <si>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</si>
  <si>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</si>
  <si>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</si>
  <si>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</si>
  <si>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</si>
  <si>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</si>
  <si>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</si>
  <si>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</si>
  <si>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</si>
  <si>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</si>
  <si>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</si>
  <si>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</si>
  <si>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</si>
  <si>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</si>
  <si>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</si>
  <si>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</si>
  <si>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</si>
  <si>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</si>
  <si>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</si>
  <si>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</si>
  <si>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</si>
  <si>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</si>
  <si>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</si>
  <si>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</si>
  <si>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</si>
  <si>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</si>
  <si>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</si>
  <si>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</si>
  <si>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</si>
  <si>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</si>
  <si>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</si>
  <si>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</si>
  <si>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</si>
  <si>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</si>
  <si>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</si>
  <si>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</si>
  <si>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</si>
  <si>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</si>
  <si>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</si>
  <si>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</si>
  <si>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</si>
  <si>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</si>
  <si>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</si>
  <si>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</si>
  <si>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</si>
  <si>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</si>
  <si>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</si>
  <si>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</si>
  <si>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</si>
  <si>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</si>
  <si>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</si>
  <si>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</si>
  <si>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</si>
  <si>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</si>
  <si>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</si>
  <si>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</si>
  <si>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</si>
  <si>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</si>
  <si>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</si>
  <si>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</si>
  <si>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</si>
  <si>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</si>
  <si>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</si>
  <si>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</si>
  <si>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</si>
  <si>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</si>
  <si>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</si>
  <si>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</si>
  <si>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</si>
  <si>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</si>
  <si>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</si>
  <si>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</si>
  <si>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</si>
  <si>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</si>
  <si>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</si>
  <si>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</si>
  <si>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</si>
  <si>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</si>
  <si>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</si>
  <si>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</si>
  <si>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</si>
  <si>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</si>
  <si>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</si>
  <si>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</si>
  <si>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</si>
  <si>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</si>
  <si>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</si>
  <si>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</si>
  <si>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</si>
  <si>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</si>
  <si>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</si>
  <si>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</si>
  <si>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</si>
  <si>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</si>
  <si>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</si>
  <si>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</si>
  <si>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</si>
  <si>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</si>
  <si>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</si>
  <si>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</si>
  <si>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</si>
  <si>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</si>
  <si>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</si>
  <si>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</si>
  <si>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</si>
  <si>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</si>
  <si>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</si>
  <si>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</si>
  <si>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</si>
  <si>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</si>
  <si>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</si>
  <si>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</si>
  <si>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</si>
  <si>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</si>
  <si>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</si>
  <si>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</si>
  <si>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</si>
  <si>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</si>
  <si>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</si>
  <si>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</si>
  <si>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</si>
  <si>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</si>
  <si>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</si>
  <si>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</si>
  <si>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</si>
  <si>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</si>
  <si>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</si>
  <si>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</si>
  <si>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</si>
  <si>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</si>
  <si>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</si>
  <si>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</si>
  <si>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</si>
  <si>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</si>
  <si>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</si>
  <si>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</si>
  <si>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</si>
  <si>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</si>
  <si>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</si>
  <si>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</si>
  <si>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</si>
  <si>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</si>
  <si>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</si>
  <si>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</si>
  <si>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</si>
  <si>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</si>
  <si>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</si>
  <si>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</si>
  <si>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</si>
  <si>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</si>
  <si>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</si>
  <si>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</si>
  <si>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</si>
  <si>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</si>
  <si>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</si>
  <si>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</si>
  <si>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</si>
  <si>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</si>
  <si>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</si>
  <si>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</si>
  <si>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</si>
  <si>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</si>
  <si>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</si>
  <si>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</si>
  <si>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</si>
  <si>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</si>
  <si>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</si>
  <si>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</si>
  <si>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</si>
  <si>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</si>
  <si>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</si>
  <si>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</si>
  <si>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</si>
  <si>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</si>
  <si>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</si>
  <si>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</si>
  <si>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</si>
  <si>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</si>
  <si>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</si>
  <si>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</si>
  <si>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</si>
  <si>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</si>
  <si>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</si>
  <si>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</si>
  <si>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</si>
  <si>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</si>
  <si>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</si>
  <si>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</si>
  <si>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</si>
  <si>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</si>
  <si>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</si>
  <si>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</si>
  <si>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</si>
  <si>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</si>
  <si>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</si>
  <si>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</si>
  <si>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</si>
  <si>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</si>
  <si>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</si>
  <si>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</si>
  <si>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</si>
  <si>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</si>
  <si>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</si>
  <si>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</si>
  <si>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</si>
  <si>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</si>
  <si>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</si>
  <si>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</si>
  <si>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</si>
  <si>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</si>
  <si>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</si>
  <si>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</si>
  <si>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</si>
  <si>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</si>
  <si>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</si>
  <si>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</si>
  <si>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</si>
  <si>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</si>
  <si>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</si>
  <si>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</si>
  <si>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</si>
  <si>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</si>
  <si>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</si>
  <si>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</si>
  <si>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</si>
  <si>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</si>
  <si>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</si>
  <si>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</si>
  <si>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</si>
  <si>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</si>
  <si>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</si>
  <si>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</si>
  <si>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</si>
  <si>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</si>
  <si>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</si>
  <si>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</si>
  <si>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</si>
  <si>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</si>
  <si>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</si>
  <si>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</si>
  <si>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</si>
  <si>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</si>
  <si>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</si>
  <si>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</si>
  <si>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</si>
  <si>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</si>
  <si>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</si>
  <si>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</si>
  <si>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</si>
  <si>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</si>
  <si>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</si>
  <si>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</si>
  <si>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</si>
  <si>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</si>
  <si>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</si>
  <si>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</si>
  <si>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</si>
  <si>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</si>
  <si>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</si>
  <si>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</si>
  <si>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</si>
  <si>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</si>
  <si>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</si>
  <si>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</si>
  <si>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</si>
  <si>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</si>
  <si>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</si>
  <si>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</si>
  <si>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</si>
  <si>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</si>
  <si>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</si>
  <si>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</si>
  <si>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</si>
  <si>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</si>
  <si>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</si>
  <si>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</si>
  <si>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</si>
  <si>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</si>
  <si>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</si>
  <si>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</si>
  <si>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</si>
  <si>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</si>
  <si>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</si>
  <si>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</si>
  <si>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</si>
  <si>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</si>
  <si>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</si>
  <si>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</si>
  <si>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</si>
  <si>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</si>
  <si>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</si>
  <si>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</si>
  <si>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</si>
  <si>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</si>
  <si>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</si>
  <si>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</si>
  <si>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</si>
  <si>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</si>
  <si>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</si>
  <si>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</si>
  <si>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</si>
  <si>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</si>
  <si>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</si>
  <si>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</si>
  <si>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</si>
  <si>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</si>
  <si>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</si>
  <si>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</si>
  <si>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</si>
  <si>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</si>
  <si>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</si>
  <si>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</si>
  <si>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</si>
  <si>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</si>
  <si>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</si>
  <si>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</si>
  <si>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</si>
  <si>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</si>
  <si>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</si>
  <si>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</si>
  <si>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</si>
  <si>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</si>
  <si>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</si>
  <si>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</si>
  <si>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</si>
  <si>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</si>
  <si>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</si>
  <si>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</si>
  <si>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</si>
  <si>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</si>
  <si>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</si>
  <si>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</si>
  <si>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</si>
  <si>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</si>
  <si>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</si>
  <si>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</si>
  <si>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</si>
  <si>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</si>
  <si>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</si>
  <si>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</si>
  <si>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</si>
  <si>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</si>
  <si>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</si>
  <si>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</si>
  <si>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</si>
  <si>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</si>
  <si>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</si>
  <si>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</si>
  <si>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</si>
  <si>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</si>
  <si>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</si>
  <si>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</si>
  <si>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</si>
  <si>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</si>
  <si>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</si>
  <si>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</si>
  <si>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</si>
  <si>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</si>
  <si>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</si>
  <si>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</si>
  <si>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</si>
  <si>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</si>
  <si>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</si>
  <si>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</si>
  <si>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</si>
  <si>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</si>
  <si>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</si>
  <si>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</si>
  <si>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</si>
  <si>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</si>
  <si>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</si>
  <si>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</si>
  <si>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</si>
  <si>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</si>
  <si>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</si>
  <si>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</si>
  <si>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</si>
  <si>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</si>
  <si>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</si>
  <si>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</si>
  <si>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</si>
  <si>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</si>
  <si>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</si>
  <si>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</si>
  <si>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</si>
  <si>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</si>
  <si>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</si>
  <si>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</si>
  <si>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</si>
  <si>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</si>
  <si>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</si>
  <si>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</si>
  <si>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</si>
  <si>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</si>
  <si>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</si>
  <si>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</si>
  <si>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</si>
  <si>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</si>
  <si>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</si>
  <si>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</si>
  <si>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</si>
  <si>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</si>
  <si>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</si>
  <si>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</si>
  <si>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</si>
  <si>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</si>
  <si>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</si>
  <si>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</si>
  <si>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</si>
  <si>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</si>
  <si>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</si>
  <si>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</si>
  <si>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</si>
  <si>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</si>
  <si>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</si>
  <si>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</si>
  <si>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</si>
  <si>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</si>
  <si>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</si>
  <si>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</si>
  <si>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</si>
  <si>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</si>
  <si>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</si>
  <si>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</si>
  <si>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</si>
  <si>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</si>
  <si>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</si>
  <si>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</si>
  <si>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</si>
  <si>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</si>
  <si>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</si>
  <si>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</si>
  <si>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</si>
  <si>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</si>
  <si>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</si>
  <si>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</si>
  <si>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</si>
  <si>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</si>
  <si>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</si>
  <si>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</si>
  <si>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</si>
  <si>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</si>
  <si>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</si>
  <si>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</si>
  <si>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</si>
  <si>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</si>
  <si>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</si>
  <si>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</si>
  <si>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</si>
  <si>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</si>
  <si>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</si>
  <si>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</si>
  <si>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</si>
  <si>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</si>
  <si>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</si>
  <si>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</si>
  <si>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</si>
  <si>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</si>
  <si>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</si>
  <si>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</si>
  <si>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</si>
  <si>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</si>
  <si>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</si>
  <si>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</si>
  <si>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</si>
  <si>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</si>
  <si>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</si>
  <si>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</si>
  <si>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</si>
  <si>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</si>
  <si>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</si>
  <si>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</si>
  <si>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</si>
  <si>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</si>
  <si>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</si>
  <si>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</si>
  <si>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</si>
  <si>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</si>
  <si>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</si>
  <si>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</si>
  <si>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</si>
  <si>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</si>
  <si>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</si>
  <si>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</si>
  <si>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</si>
  <si>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</si>
  <si>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</si>
  <si>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</si>
  <si>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</si>
  <si>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</si>
  <si>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</si>
  <si>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</si>
  <si>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</si>
  <si>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</si>
  <si>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</si>
  <si>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</si>
  <si>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</si>
  <si>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</si>
  <si>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</si>
  <si>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</si>
  <si>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</si>
  <si>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</si>
  <si>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</si>
  <si>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</si>
  <si>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</si>
  <si>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</si>
  <si>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</si>
  <si>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</si>
  <si>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</si>
  <si>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</si>
  <si>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</si>
  <si>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</si>
  <si>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</si>
  <si>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</si>
  <si>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</si>
  <si>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</si>
  <si>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</si>
  <si>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</si>
  <si>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</si>
  <si>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</si>
  <si>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</si>
  <si>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</si>
  <si>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</si>
  <si>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</si>
  <si>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</si>
  <si>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</si>
  <si>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</si>
  <si>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</si>
  <si>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</si>
  <si>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</si>
  <si>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</si>
  <si>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</si>
  <si>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</si>
  <si>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</si>
  <si>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</si>
  <si>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</si>
  <si>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</si>
  <si>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</si>
  <si>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</si>
  <si>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</si>
  <si>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</si>
  <si>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</si>
  <si>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</si>
  <si>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</si>
  <si>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</si>
  <si>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</si>
  <si>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</si>
  <si>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</si>
  <si>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</si>
  <si>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</si>
  <si>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</si>
  <si>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</si>
  <si>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</si>
  <si>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</si>
  <si>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</si>
  <si>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</si>
  <si>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</si>
  <si>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</si>
  <si>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</si>
  <si>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</si>
  <si>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</si>
  <si>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</si>
  <si>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</si>
  <si>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</si>
  <si>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</si>
  <si>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</si>
  <si>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</si>
  <si>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</si>
  <si>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</si>
  <si>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</si>
  <si>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</si>
  <si>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</si>
  <si>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</si>
  <si>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</si>
  <si>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</si>
  <si>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</si>
  <si>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</si>
  <si>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</si>
  <si>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</si>
  <si>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</si>
  <si>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</si>
  <si>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</si>
  <si>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</si>
  <si>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</si>
  <si>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</si>
  <si>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</si>
  <si>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</si>
  <si>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</si>
  <si>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</si>
  <si>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</si>
  <si>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</si>
  <si>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</si>
  <si>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</si>
  <si>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</si>
  <si>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</si>
  <si>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</si>
  <si>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</si>
  <si>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</si>
  <si>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</si>
  <si>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</si>
  <si>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</si>
  <si>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</si>
  <si>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</si>
  <si>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</si>
  <si>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</si>
  <si>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</si>
  <si>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</si>
  <si>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</si>
  <si>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</si>
  <si>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</si>
  <si>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</si>
  <si>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</si>
  <si>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</si>
  <si>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</si>
  <si>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</si>
  <si>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</si>
  <si>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</si>
  <si>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</si>
  <si>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</si>
  <si>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</si>
  <si>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</si>
  <si>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</si>
  <si>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</si>
  <si>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</si>
  <si>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</si>
  <si>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</si>
  <si>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</si>
  <si>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</si>
  <si>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</si>
  <si>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</si>
  <si>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</si>
  <si>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</si>
  <si>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</si>
  <si>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</si>
  <si>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</si>
  <si>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</si>
  <si>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</si>
  <si>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</si>
  <si>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</si>
  <si>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</si>
  <si>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</si>
  <si>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</si>
  <si>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</si>
  <si>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</si>
  <si>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</si>
  <si>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</si>
  <si>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</si>
  <si>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</si>
  <si>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</si>
  <si>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</si>
  <si>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</si>
  <si>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</si>
  <si>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</si>
  <si>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</si>
  <si>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</si>
  <si>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</si>
  <si>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</si>
  <si>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</si>
  <si>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</si>
  <si>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</si>
  <si>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</si>
  <si>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</si>
  <si>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</si>
  <si>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</si>
  <si>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</si>
  <si>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</si>
  <si>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</si>
  <si>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</si>
  <si>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</si>
  <si>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</si>
  <si>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</si>
  <si>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</si>
  <si>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</si>
  <si>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</si>
  <si>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</si>
  <si>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</si>
  <si>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</si>
  <si>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</si>
  <si>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</si>
  <si>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</si>
  <si>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</si>
  <si>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</si>
  <si>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</si>
  <si>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</si>
  <si>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</si>
  <si>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</si>
  <si>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</si>
  <si>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</si>
  <si>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</si>
  <si>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</si>
  <si>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</si>
  <si>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</si>
  <si>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</si>
  <si>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</si>
  <si>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</si>
  <si>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</si>
  <si>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</si>
  <si>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</si>
  <si>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</si>
  <si>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</si>
  <si>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</si>
  <si>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</si>
  <si>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</si>
  <si>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</si>
  <si>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</si>
  <si>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</si>
  <si>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</si>
  <si>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</si>
  <si>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</si>
  <si>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</si>
  <si>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</si>
  <si>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</si>
  <si>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</si>
  <si>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</si>
  <si>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</si>
  <si>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</si>
  <si>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</si>
  <si>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</si>
  <si>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</si>
  <si>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</si>
  <si>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</si>
  <si>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</si>
  <si>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</si>
  <si>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</si>
  <si>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</si>
  <si>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</si>
  <si>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</si>
  <si>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</si>
  <si>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</si>
  <si>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</si>
  <si>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</si>
  <si>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</si>
  <si>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</si>
  <si>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</si>
  <si>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</si>
  <si>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</si>
  <si>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</si>
  <si>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</si>
  <si>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</si>
  <si>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</si>
  <si>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</si>
  <si>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</si>
  <si>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</si>
  <si>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</si>
  <si>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</si>
  <si>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</si>
  <si>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</si>
  <si>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</si>
  <si>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</si>
  <si>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</si>
  <si>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</si>
  <si>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</si>
  <si>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</si>
  <si>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</si>
  <si>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</si>
  <si>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</si>
  <si>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</si>
  <si>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</si>
  <si>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</si>
  <si>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</si>
  <si>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</si>
  <si>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</si>
  <si>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</si>
  <si>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</si>
  <si>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</si>
  <si>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</si>
  <si>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</si>
  <si>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</si>
  <si>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</si>
  <si>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</si>
  <si>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</si>
  <si>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</si>
  <si>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</si>
  <si>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</si>
  <si>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</si>
  <si>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</si>
  <si>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</si>
  <si>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</si>
  <si>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</si>
  <si>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</si>
  <si>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</si>
  <si>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</si>
  <si>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</si>
  <si>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</si>
  <si>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</si>
  <si>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</si>
  <si>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</si>
  <si>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</si>
  <si>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</si>
  <si>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</si>
  <si>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</si>
  <si>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</si>
  <si>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</si>
  <si>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</si>
  <si>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</si>
  <si>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</si>
  <si>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</si>
  <si>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</si>
  <si>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</si>
  <si>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</si>
  <si>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</si>
  <si>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</si>
  <si>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</si>
  <si>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</si>
  <si>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</si>
  <si>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</si>
  <si>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</si>
  <si>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</si>
  <si>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</si>
  <si>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</si>
  <si>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</si>
  <si>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</si>
  <si>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</si>
  <si>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</si>
  <si>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</si>
  <si>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</si>
  <si>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</si>
  <si>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</si>
  <si>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</si>
  <si>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</si>
  <si>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</si>
  <si>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</si>
  <si>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</si>
  <si>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</si>
  <si>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</si>
  <si>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</si>
  <si>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</si>
  <si>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</si>
  <si>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</si>
  <si>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</si>
  <si>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</si>
  <si>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</si>
  <si>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</si>
  <si>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</si>
  <si>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</si>
  <si>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</si>
  <si>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</si>
  <si>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</si>
  <si>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</si>
  <si>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</si>
  <si>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</si>
  <si>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</si>
  <si>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</si>
  <si>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</si>
  <si>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</si>
  <si>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</si>
  <si>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</si>
  <si>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</si>
  <si>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</si>
  <si>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</si>
  <si>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</si>
  <si>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</si>
  <si>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</si>
  <si>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</si>
  <si>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</si>
  <si>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</si>
  <si>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</si>
  <si>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</si>
  <si>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</si>
  <si>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</si>
  <si>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</si>
  <si>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</si>
  <si>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</si>
  <si>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</si>
  <si>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</si>
  <si>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</si>
  <si>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</si>
  <si>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</si>
  <si>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</si>
  <si>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</si>
  <si>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</si>
  <si>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</si>
  <si>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</si>
  <si>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</si>
  <si>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</si>
  <si>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</si>
  <si>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</si>
  <si>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</si>
  <si>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</si>
  <si>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</si>
  <si>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</si>
  <si>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</si>
  <si>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</si>
  <si>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</si>
  <si>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</si>
  <si>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</si>
  <si>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</si>
  <si>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</si>
  <si>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</si>
  <si>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</si>
  <si>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</si>
  <si>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</si>
  <si>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</si>
  <si>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</si>
  <si>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</si>
  <si>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</si>
  <si>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</si>
  <si>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</si>
  <si>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</si>
  <si>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</si>
  <si>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</si>
  <si>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</si>
  <si>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</si>
  <si>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</si>
  <si>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</si>
  <si>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</si>
  <si>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</si>
  <si>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</si>
  <si>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</si>
  <si>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</si>
  <si>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</si>
  <si>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</si>
  <si>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</si>
  <si>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</si>
  <si>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</si>
  <si>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</si>
  <si>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</si>
  <si>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</si>
  <si>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</si>
  <si>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</si>
  <si>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</si>
  <si>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</si>
  <si>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</si>
  <si>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</si>
  <si>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</si>
  <si>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</si>
  <si>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</si>
  <si>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</si>
  <si>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</si>
  <si>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</si>
  <si>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</si>
  <si>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</si>
  <si>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</si>
  <si>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</si>
  <si>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</si>
  <si>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</si>
  <si>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</si>
  <si>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</si>
  <si>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</si>
  <si>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</si>
  <si>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</si>
  <si>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</si>
  <si>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</si>
  <si>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</si>
  <si>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</si>
  <si>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</si>
  <si>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</si>
  <si>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</si>
  <si>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</si>
  <si>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</si>
  <si>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</si>
  <si>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</si>
  <si>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</si>
  <si>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</si>
  <si>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</si>
  <si>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</si>
  <si>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</si>
  <si>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</si>
  <si>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</si>
  <si>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</si>
  <si>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</si>
  <si>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</si>
  <si>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</si>
  <si>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</si>
  <si>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</si>
  <si>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</si>
  <si>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</si>
  <si>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</si>
  <si>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</si>
  <si>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</si>
  <si>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</si>
  <si>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</si>
  <si>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</si>
  <si>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</si>
  <si>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</si>
  <si>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</si>
  <si>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</si>
  <si>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</si>
  <si>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</si>
  <si>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</si>
  <si>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</si>
  <si>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</si>
  <si>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</si>
  <si>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</si>
  <si>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</si>
  <si>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</si>
  <si>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</si>
  <si>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</si>
  <si>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</si>
  <si>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</si>
  <si>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</si>
  <si>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</si>
  <si>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</si>
  <si>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</si>
  <si>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</si>
  <si>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</si>
  <si>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</si>
  <si>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</si>
  <si>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</si>
  <si>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</si>
  <si>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</si>
  <si>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</si>
  <si>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</si>
  <si>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</si>
  <si>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</si>
  <si>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</si>
  <si>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</si>
  <si>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</si>
  <si>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</si>
  <si>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</si>
  <si>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</si>
  <si>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</si>
  <si>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</si>
  <si>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</si>
  <si>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</si>
  <si>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</si>
  <si>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</si>
  <si>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</si>
  <si>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</si>
  <si>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</si>
  <si>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</si>
  <si>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</si>
  <si>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</si>
  <si>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</si>
  <si>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</si>
  <si>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</si>
  <si>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</si>
  <si>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</si>
  <si>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</si>
  <si>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</si>
  <si>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</si>
  <si>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</si>
  <si>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</si>
  <si>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</si>
  <si>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</si>
  <si>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</si>
  <si>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</si>
  <si>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</si>
  <si>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</si>
  <si>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</si>
  <si>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</si>
  <si>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</si>
  <si>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</si>
  <si>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</si>
  <si>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</si>
  <si>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</si>
  <si>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</si>
  <si>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</si>
  <si>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</si>
  <si>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</si>
  <si>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</si>
  <si>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</si>
  <si>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</si>
  <si>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</si>
  <si>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</si>
  <si>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</si>
  <si>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</si>
  <si>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</si>
  <si>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</si>
  <si>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</si>
  <si>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</si>
  <si>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</si>
  <si>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</si>
  <si>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</si>
  <si>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</si>
  <si>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</si>
  <si>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</si>
  <si>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</si>
  <si>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</si>
  <si>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</si>
  <si>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</si>
  <si>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</si>
  <si>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</si>
  <si>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</si>
  <si>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</si>
  <si>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</si>
  <si>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</si>
  <si>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</si>
  <si>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</si>
  <si>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</si>
  <si>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</si>
  <si>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</si>
  <si>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</si>
  <si>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</si>
  <si>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</si>
  <si>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</si>
  <si>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</si>
  <si>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</si>
  <si>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</si>
  <si>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</si>
  <si>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</si>
  <si>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</si>
  <si>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</si>
  <si>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</si>
  <si>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</si>
  <si>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</si>
  <si>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</si>
  <si>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</si>
  <si>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</si>
  <si>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</si>
  <si>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</si>
  <si>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</si>
  <si>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</si>
  <si>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</si>
  <si>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</si>
  <si>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</si>
  <si>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</si>
  <si>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</si>
  <si>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</si>
  <si>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</si>
  <si>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</si>
  <si>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</si>
  <si>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</si>
  <si>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</si>
  <si>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</si>
  <si>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</si>
  <si>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</si>
  <si>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</si>
  <si>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</si>
  <si>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</si>
  <si>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</si>
  <si>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</si>
  <si>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</si>
  <si>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</si>
  <si>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</si>
  <si>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</si>
  <si>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</si>
  <si>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</si>
  <si>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</si>
  <si>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</si>
  <si>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</si>
  <si>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</si>
  <si>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</si>
  <si>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</si>
  <si>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</si>
  <si>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</si>
  <si>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</si>
  <si>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</si>
  <si>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</si>
  <si>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</si>
  <si>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</si>
  <si>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</si>
  <si>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</si>
  <si>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</si>
  <si>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</si>
  <si>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</si>
  <si>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</si>
  <si>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</si>
  <si>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</si>
  <si>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</si>
  <si>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</si>
  <si>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</si>
  <si>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</si>
  <si>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</si>
  <si>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</si>
  <si>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</si>
  <si>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</si>
  <si>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</si>
  <si>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</si>
  <si>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</si>
  <si>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</si>
  <si>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</si>
  <si>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</si>
  <si>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</si>
  <si>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</si>
  <si>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</si>
  <si>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</si>
  <si>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</si>
  <si>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</si>
  <si>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</si>
  <si>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</si>
  <si>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</si>
  <si>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</si>
  <si>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</si>
  <si>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</si>
  <si>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</si>
  <si>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</si>
  <si>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</si>
  <si>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</si>
  <si>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</si>
  <si>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</si>
  <si>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</si>
  <si>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</si>
  <si>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</si>
  <si>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</si>
  <si>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</si>
  <si>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</si>
  <si>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</si>
  <si>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</si>
  <si>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</si>
  <si>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</si>
  <si>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</si>
  <si>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</si>
  <si>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</si>
  <si>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</si>
  <si>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</si>
  <si>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</si>
  <si>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</si>
  <si>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</si>
  <si>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</si>
  <si>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</si>
  <si>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</si>
  <si>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</si>
  <si>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</si>
  <si>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</si>
  <si>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</si>
  <si>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</si>
  <si>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</si>
  <si>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</si>
  <si>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</si>
  <si>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</si>
  <si>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</si>
  <si>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</si>
  <si>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</si>
  <si>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</si>
  <si>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</si>
  <si>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</si>
  <si>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</si>
  <si>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</si>
  <si>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</si>
  <si>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</si>
  <si>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</si>
  <si>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</si>
  <si>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</si>
  <si>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</si>
  <si>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</si>
  <si>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</si>
  <si>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</si>
  <si>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</si>
  <si>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</si>
  <si>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</si>
  <si>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</si>
  <si>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</si>
  <si>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</si>
  <si>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</si>
  <si>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</si>
  <si>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</si>
  <si>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</si>
  <si>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</si>
  <si>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</si>
  <si>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</si>
  <si>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</si>
  <si>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</si>
  <si>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</si>
  <si>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</si>
  <si>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</si>
  <si>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</si>
  <si>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</si>
  <si>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</si>
  <si>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</si>
  <si>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</si>
  <si>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</si>
  <si>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</si>
  <si>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</si>
  <si>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</si>
  <si>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</si>
  <si>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</si>
  <si>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</si>
  <si>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</si>
  <si>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</si>
  <si>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</si>
  <si>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</si>
  <si>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</si>
  <si>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</si>
  <si>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</si>
  <si>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</si>
  <si>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</si>
  <si>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</si>
  <si>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</si>
  <si>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</si>
  <si>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</si>
  <si>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</si>
  <si>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</si>
  <si>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</si>
  <si>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</si>
  <si>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</si>
  <si>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</si>
  <si>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</si>
  <si>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</si>
  <si>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</si>
  <si>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</si>
  <si>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</si>
  <si>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</si>
  <si>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</si>
  <si>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</si>
  <si>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</si>
  <si>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</si>
  <si>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</si>
  <si>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</si>
  <si>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</si>
  <si>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</si>
  <si>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</si>
  <si>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</si>
  <si>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</si>
  <si>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</si>
  <si>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</si>
  <si>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</si>
  <si>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</si>
  <si>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</si>
  <si>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</si>
  <si>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</si>
  <si>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</si>
  <si>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</si>
  <si>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</si>
  <si>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</si>
  <si>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</si>
  <si>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</si>
  <si>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</si>
  <si>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</si>
  <si>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</si>
  <si>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</si>
  <si>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</si>
  <si>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</si>
  <si>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</si>
  <si>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</si>
  <si>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</si>
  <si>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</si>
  <si>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</si>
  <si>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</si>
  <si>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</si>
  <si>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</si>
  <si>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</si>
  <si>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</si>
  <si>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</si>
  <si>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</si>
  <si>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</si>
  <si>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</si>
  <si>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</si>
  <si>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</si>
  <si>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</si>
  <si>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</si>
  <si>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</si>
  <si>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</si>
  <si>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</si>
  <si>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</si>
  <si>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</si>
  <si>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</si>
  <si>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</si>
  <si>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</si>
  <si>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</si>
  <si>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</si>
  <si>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</si>
  <si>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</si>
  <si>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</si>
  <si>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</si>
  <si>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</si>
  <si>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</si>
  <si>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</si>
  <si>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</si>
  <si>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</si>
  <si>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</si>
  <si>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</si>
  <si>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</si>
  <si>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</si>
  <si>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</si>
  <si>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</si>
  <si>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</si>
  <si>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</si>
  <si>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</si>
  <si>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</si>
  <si>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</si>
  <si>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</si>
  <si>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</si>
  <si>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</si>
  <si>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</si>
  <si>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</si>
  <si>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</si>
  <si>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</si>
  <si>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</si>
  <si>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</si>
  <si>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</si>
  <si>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</si>
  <si>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</si>
  <si>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</si>
  <si>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</si>
  <si>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</si>
  <si>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</si>
  <si>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</si>
  <si>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</si>
  <si>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</si>
  <si>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</si>
  <si>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</si>
  <si>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</si>
  <si>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</si>
  <si>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</si>
  <si>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</si>
  <si>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</si>
  <si>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</si>
  <si>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</si>
  <si>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</si>
  <si>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</si>
  <si>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</si>
  <si>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</si>
  <si>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</si>
  <si>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</si>
  <si>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</si>
  <si>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</si>
  <si>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</si>
  <si>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</si>
  <si>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</si>
  <si>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</si>
  <si>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</si>
  <si>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</si>
  <si>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</si>
  <si>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</si>
  <si>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</si>
  <si>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</si>
  <si>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</si>
  <si>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</si>
  <si>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</si>
  <si>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</si>
  <si>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</si>
  <si>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</si>
  <si>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</si>
  <si>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</si>
  <si>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</si>
  <si>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</si>
  <si>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</si>
  <si>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</si>
  <si>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</si>
  <si>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</si>
  <si>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</si>
  <si>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</si>
  <si>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</si>
  <si>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</si>
  <si>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</si>
  <si>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</si>
  <si>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</si>
  <si>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</si>
  <si>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</si>
  <si>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</si>
  <si>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</si>
  <si>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</si>
  <si>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</si>
  <si>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</si>
  <si>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</si>
  <si>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</si>
  <si>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</si>
  <si>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</si>
  <si>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</si>
  <si>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</si>
  <si>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</si>
  <si>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</si>
  <si>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</si>
  <si>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</si>
  <si>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</si>
  <si>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</si>
  <si>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</si>
  <si>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</si>
  <si>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</si>
  <si>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</si>
  <si>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</si>
  <si>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</si>
  <si>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</si>
  <si>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</si>
  <si>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</si>
  <si>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</si>
  <si>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</si>
  <si>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</si>
  <si>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</si>
  <si>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</si>
  <si>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</si>
  <si>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</si>
  <si>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</si>
  <si>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</si>
  <si>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</si>
  <si>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</si>
  <si>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</si>
  <si>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</si>
  <si>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</si>
  <si>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</si>
  <si>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</si>
  <si>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</si>
  <si>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</si>
  <si>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</si>
  <si>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</si>
  <si>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</si>
  <si>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</si>
  <si>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</si>
  <si>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</si>
  <si>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</si>
  <si>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</si>
  <si>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</si>
  <si>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</si>
  <si>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</si>
  <si>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</si>
  <si>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</si>
  <si>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</si>
  <si>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</si>
  <si>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</si>
  <si>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</si>
  <si>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</si>
  <si>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</si>
  <si>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</si>
  <si>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</si>
  <si>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</si>
  <si>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</si>
  <si>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</si>
  <si>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</si>
  <si>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</si>
  <si>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</si>
  <si>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</si>
  <si>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</si>
  <si>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</si>
  <si>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</si>
  <si>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</si>
  <si>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</si>
  <si>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</si>
  <si>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</si>
  <si>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</si>
  <si>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</si>
  <si>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</si>
  <si>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</si>
  <si>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</si>
  <si>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</si>
  <si>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</si>
  <si>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</si>
  <si>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</si>
  <si>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</si>
  <si>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</si>
  <si>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</si>
  <si>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</si>
  <si>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</si>
  <si>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</si>
  <si>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</si>
  <si>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</si>
  <si>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</si>
  <si>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</si>
  <si>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</si>
  <si>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</si>
  <si>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</si>
  <si>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</si>
  <si>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</si>
  <si>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</si>
  <si>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</si>
  <si>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</si>
  <si>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</si>
  <si>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</si>
  <si>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</si>
  <si>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</si>
  <si>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</si>
  <si>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</si>
  <si>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</si>
  <si>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</si>
  <si>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</si>
  <si>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</si>
  <si>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</si>
  <si>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</si>
  <si>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</si>
  <si>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</si>
  <si>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</si>
  <si>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</si>
  <si>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</si>
  <si>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</si>
  <si>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</si>
  <si>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</si>
  <si>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</si>
  <si>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</si>
  <si>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</si>
  <si>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</si>
  <si>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</si>
  <si>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</si>
  <si>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</si>
  <si>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</si>
  <si>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</si>
  <si>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</si>
  <si>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</si>
  <si>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</si>
  <si>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</si>
  <si>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</si>
  <si>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</si>
  <si>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</si>
  <si>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</si>
  <si>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</si>
  <si>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</si>
  <si>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</si>
  <si>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</si>
  <si>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</si>
  <si>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</si>
  <si>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</si>
  <si>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</si>
  <si>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</si>
  <si>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</si>
  <si>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</si>
  <si>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</si>
  <si>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</si>
  <si>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</si>
  <si>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</si>
  <si>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</si>
  <si>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</si>
  <si>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</si>
  <si>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</si>
  <si>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</si>
  <si>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</si>
  <si>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</si>
  <si>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</si>
  <si>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</si>
  <si>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</si>
  <si>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</si>
  <si>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</si>
  <si>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</si>
  <si>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</si>
  <si>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</si>
  <si>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</si>
  <si>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</si>
  <si>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</si>
  <si>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</si>
  <si>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</si>
  <si>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</si>
  <si>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</si>
  <si>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</si>
  <si>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</si>
  <si>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</si>
  <si>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</si>
  <si>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</si>
  <si>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</si>
  <si>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</si>
  <si>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</si>
  <si>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</si>
  <si>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</si>
  <si>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</si>
  <si>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</si>
  <si>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</si>
  <si>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</si>
  <si>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</si>
  <si>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</si>
  <si>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</si>
  <si>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</si>
  <si>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</si>
  <si>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</si>
  <si>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</si>
  <si>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</si>
  <si>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</si>
  <si>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</si>
  <si>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</si>
  <si>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</si>
  <si>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</si>
  <si>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</si>
  <si>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</si>
  <si>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</si>
  <si>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</si>
  <si>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</si>
  <si>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</si>
  <si>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</si>
  <si>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</si>
  <si>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</si>
  <si>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</si>
  <si>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</si>
  <si>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</si>
  <si>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</si>
  <si>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</si>
  <si>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</si>
  <si>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</si>
  <si>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</si>
  <si>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</si>
  <si>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</si>
  <si>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</si>
  <si>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</si>
  <si>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</si>
  <si>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</si>
  <si>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</si>
  <si>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</si>
  <si>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</si>
  <si>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</si>
  <si>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</si>
  <si>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</si>
  <si>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</si>
  <si>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</si>
  <si>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</si>
  <si>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</si>
  <si>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</si>
  <si>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</si>
  <si>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</si>
  <si>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</si>
  <si>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</si>
  <si>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</si>
  <si>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</si>
  <si>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</si>
  <si>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</si>
  <si>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</si>
  <si>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</si>
  <si>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</si>
  <si>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</si>
  <si>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</si>
  <si>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</si>
  <si>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</si>
  <si>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</si>
  <si>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</si>
  <si>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</si>
  <si>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</si>
  <si>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</si>
  <si>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</si>
  <si>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</si>
  <si>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</si>
  <si>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</si>
  <si>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</si>
  <si>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</si>
  <si>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</si>
  <si>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</si>
  <si>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</si>
  <si>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</si>
  <si>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</si>
  <si>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</si>
  <si>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</si>
  <si>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</si>
  <si>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</si>
  <si>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</si>
  <si>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</si>
  <si>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</si>
  <si>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</si>
  <si>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</si>
  <si>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</si>
  <si>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</si>
  <si>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</si>
  <si>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</si>
  <si>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</si>
  <si>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</si>
  <si>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</si>
  <si>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</si>
  <si>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</si>
  <si>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</si>
  <si>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</si>
  <si>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</si>
  <si>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</si>
  <si>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</si>
  <si>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</si>
  <si>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</si>
  <si>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</si>
  <si>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</si>
  <si>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</si>
  <si>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</si>
  <si>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</si>
  <si>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</si>
  <si>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</si>
  <si>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</si>
  <si>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</si>
  <si>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</si>
  <si>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</si>
  <si>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</si>
  <si>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</si>
  <si>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</si>
  <si>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</si>
  <si>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</si>
  <si>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</si>
  <si>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</si>
  <si>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</si>
  <si>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</si>
  <si>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</si>
  <si>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</si>
  <si>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</si>
  <si>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</si>
  <si>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</si>
  <si>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</si>
  <si>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</si>
  <si>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</si>
  <si>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</si>
  <si>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</si>
  <si>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</si>
  <si>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</si>
  <si>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</si>
  <si>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</si>
  <si>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</si>
  <si>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</si>
  <si>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</si>
  <si>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</si>
  <si>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</si>
  <si>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</si>
  <si>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</si>
  <si>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</si>
  <si>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</si>
  <si>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</si>
  <si>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</si>
  <si>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</si>
  <si>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</si>
  <si>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</si>
  <si>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</si>
  <si>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</si>
  <si>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</si>
  <si>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</si>
  <si>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</si>
  <si>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</si>
  <si>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</si>
  <si>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</si>
  <si>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</si>
  <si>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</si>
  <si>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</si>
  <si>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</si>
  <si>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</si>
  <si>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</si>
  <si>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</si>
  <si>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</si>
  <si>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</si>
  <si>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</si>
  <si>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</si>
  <si>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</si>
  <si>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</si>
  <si>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</si>
  <si>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</si>
  <si>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</si>
  <si>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</si>
  <si>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</si>
  <si>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</si>
  <si>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</si>
  <si>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</si>
  <si>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</si>
  <si>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</si>
  <si>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</si>
  <si>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</si>
  <si>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</si>
  <si>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</si>
  <si>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</si>
  <si>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</si>
  <si>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</si>
  <si>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</si>
  <si>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</si>
  <si>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</si>
  <si>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</si>
  <si>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</si>
  <si>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</si>
  <si>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</si>
  <si>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</si>
  <si>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</si>
  <si>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</si>
  <si>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</si>
  <si>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</si>
  <si>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</si>
  <si>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</si>
  <si>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</si>
  <si>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</si>
  <si>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</si>
  <si>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</si>
  <si>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</si>
  <si>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</si>
  <si>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</si>
  <si>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</si>
  <si>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</si>
  <si>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</si>
  <si>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</si>
  <si>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</si>
  <si>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</si>
  <si>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</si>
  <si>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</si>
  <si>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</si>
  <si>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</si>
  <si>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</si>
  <si>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</si>
  <si>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</si>
  <si>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</si>
  <si>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</si>
  <si>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</si>
  <si>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</si>
  <si>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</si>
  <si>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</si>
  <si>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</si>
  <si>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</si>
  <si>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</si>
  <si>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</si>
  <si>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</si>
  <si>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</si>
  <si>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</si>
  <si>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</si>
  <si>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</si>
  <si>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</si>
  <si>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</si>
  <si>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</si>
  <si>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</si>
  <si>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</si>
  <si>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</si>
  <si>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</si>
  <si>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</si>
  <si>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</si>
  <si>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</si>
  <si>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</si>
  <si>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</si>
  <si>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</si>
  <si>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</si>
  <si>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</si>
  <si>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</si>
  <si>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</si>
  <si>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</si>
  <si>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</si>
  <si>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</si>
  <si>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</si>
  <si>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</si>
  <si>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</si>
  <si>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</si>
  <si>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</si>
  <si>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</si>
  <si>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</si>
  <si>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</si>
  <si>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</si>
  <si>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</si>
  <si>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</si>
  <si>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</si>
  <si>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</si>
  <si>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</si>
  <si>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</si>
  <si>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</si>
  <si>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</si>
  <si>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</si>
  <si>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</si>
  <si>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</si>
  <si>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</si>
  <si>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</si>
  <si>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</si>
  <si>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</si>
  <si>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</si>
  <si>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</si>
  <si>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</si>
  <si>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</si>
  <si>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</si>
  <si>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</si>
  <si>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</si>
  <si>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</si>
  <si>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</si>
  <si>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</si>
  <si>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</si>
  <si>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</si>
  <si>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</si>
  <si>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</si>
  <si>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</si>
  <si>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</si>
  <si>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</si>
  <si>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</si>
  <si>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</si>
  <si>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</si>
  <si>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</si>
  <si>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</si>
  <si>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</si>
  <si>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</si>
  <si>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</si>
  <si>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</si>
  <si>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</si>
  <si>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</si>
  <si>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</si>
  <si>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</si>
  <si>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</si>
  <si>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</si>
  <si>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</si>
  <si>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</si>
  <si>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</si>
  <si>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</si>
  <si>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</si>
  <si>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</si>
  <si>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</si>
  <si>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</si>
  <si>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</si>
  <si>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</si>
  <si>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</si>
  <si>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</si>
  <si>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</si>
  <si>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</si>
  <si>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</si>
  <si>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</si>
  <si>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</si>
  <si>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</si>
  <si>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</si>
  <si>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</si>
  <si>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</si>
  <si>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</si>
  <si>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</si>
  <si>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</si>
  <si>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</si>
  <si>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</si>
  <si>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</si>
  <si>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</si>
  <si>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</si>
  <si>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</si>
  <si>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</si>
  <si>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</si>
  <si>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</si>
  <si>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</si>
  <si>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</si>
  <si>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</si>
  <si>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</si>
  <si>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</si>
  <si>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</si>
  <si>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</si>
  <si>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</si>
  <si>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</si>
  <si>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</si>
  <si>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</si>
  <si>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</si>
  <si>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</si>
  <si>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</si>
  <si>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</si>
  <si>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</si>
  <si>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</si>
  <si>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</si>
  <si>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</si>
  <si>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</si>
  <si>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</si>
  <si>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</si>
  <si>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</si>
  <si>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</si>
  <si>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</si>
  <si>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</si>
  <si>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</si>
  <si>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</si>
  <si>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</si>
  <si>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</si>
  <si>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</si>
  <si>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</si>
  <si>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</si>
  <si>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</si>
  <si>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</si>
  <si>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</si>
  <si>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</si>
  <si>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</si>
  <si>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</si>
  <si>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</si>
  <si>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</si>
  <si>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</si>
  <si>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</si>
  <si>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</si>
  <si>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</si>
  <si>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</si>
  <si>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</si>
  <si>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</si>
  <si>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</si>
  <si>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</si>
  <si>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</si>
  <si>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</si>
  <si>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</si>
  <si>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</si>
  <si>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</si>
  <si>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</si>
  <si>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</si>
  <si>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</si>
  <si>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</si>
  <si>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</si>
  <si>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</si>
  <si>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</si>
  <si>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</si>
  <si>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</si>
  <si>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</si>
  <si>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</si>
  <si>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</si>
  <si>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</si>
  <si>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</si>
  <si>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</si>
  <si>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</si>
  <si>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</si>
  <si>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</si>
  <si>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</si>
  <si>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</si>
  <si>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</si>
  <si>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</si>
  <si>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</si>
  <si>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</si>
  <si>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</si>
  <si>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</si>
  <si>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</si>
  <si>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</si>
  <si>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</si>
  <si>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</si>
  <si>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</si>
  <si>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</si>
  <si>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</si>
  <si>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</si>
  <si>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</si>
  <si>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</si>
  <si>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</si>
  <si>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</si>
  <si>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</si>
  <si>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</si>
  <si>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</si>
  <si>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</si>
  <si>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</si>
  <si>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</si>
  <si>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</si>
  <si>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</si>
  <si>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</si>
  <si>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</si>
  <si>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</si>
  <si>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</si>
  <si>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</si>
  <si>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</si>
  <si>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</si>
  <si>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</si>
  <si>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</si>
  <si>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</si>
  <si>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</si>
  <si>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</si>
  <si>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</si>
  <si>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</si>
  <si>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</si>
  <si>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</si>
  <si>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</si>
  <si>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</si>
  <si>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</si>
  <si>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</si>
  <si>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</si>
  <si>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</si>
  <si>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</si>
  <si>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</si>
  <si>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</si>
  <si>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</si>
  <si>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</si>
  <si>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</si>
  <si>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</si>
  <si>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</si>
  <si>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</si>
  <si>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</si>
  <si>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</si>
  <si>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</si>
  <si>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</si>
  <si>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</si>
  <si>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</si>
  <si>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</si>
  <si>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</si>
  <si>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</si>
  <si>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</si>
  <si>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</si>
  <si>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</si>
  <si>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</si>
  <si>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</si>
  <si>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</si>
  <si>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</si>
  <si>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</si>
  <si>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</si>
  <si>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</si>
  <si>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</si>
  <si>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</si>
  <si>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</si>
  <si>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</si>
  <si>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</si>
  <si>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</si>
  <si>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</si>
  <si>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</si>
  <si>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</si>
  <si>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</si>
  <si>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</si>
  <si>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</si>
  <si>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</si>
  <si>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</si>
  <si>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</si>
  <si>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</si>
  <si>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</si>
  <si>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</si>
  <si>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</si>
  <si>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</si>
  <si>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</si>
  <si>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</si>
  <si>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</si>
  <si>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</si>
  <si>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</si>
  <si>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</si>
  <si>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</si>
  <si>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</si>
  <si>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</si>
  <si>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</si>
  <si>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</si>
  <si>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</si>
  <si>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</si>
  <si>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</si>
  <si>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</si>
  <si>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</si>
  <si>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</si>
  <si>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</si>
  <si>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</si>
  <si>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</si>
  <si>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</si>
  <si>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</si>
  <si>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</si>
  <si>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</si>
  <si>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</si>
  <si>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</si>
  <si>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</si>
  <si>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</si>
  <si>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</si>
  <si>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</si>
  <si>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</si>
  <si>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</si>
  <si>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</si>
  <si>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</si>
  <si>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</si>
  <si>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</si>
  <si>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</si>
  <si>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</si>
  <si>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</si>
  <si>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</si>
  <si>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</si>
  <si>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</si>
  <si>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</si>
  <si>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</si>
  <si>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</si>
  <si>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</si>
  <si>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</si>
  <si>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</si>
  <si>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</si>
  <si>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</si>
  <si>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</si>
  <si>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</si>
  <si>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</si>
  <si>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</si>
  <si>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</si>
  <si>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</si>
  <si>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</si>
  <si>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</si>
  <si>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</si>
  <si>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</si>
  <si>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</si>
  <si>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</si>
  <si>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</si>
  <si>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</si>
  <si>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</si>
  <si>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</si>
  <si>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</si>
  <si>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</si>
  <si>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</si>
  <si>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</si>
  <si>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</si>
  <si>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</si>
  <si>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</si>
  <si>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</si>
  <si>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</si>
  <si>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</si>
  <si>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</si>
  <si>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</si>
  <si>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</si>
  <si>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</si>
  <si>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</si>
  <si>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</si>
  <si>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</si>
  <si>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</si>
  <si>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</si>
  <si>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</si>
  <si>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</si>
  <si>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</si>
  <si>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</si>
  <si>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</si>
  <si>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</si>
  <si>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</si>
  <si>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</si>
  <si>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</si>
  <si>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</si>
  <si>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</si>
  <si>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</si>
  <si>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</si>
  <si>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</si>
  <si>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</si>
  <si>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</si>
  <si>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</si>
  <si>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</si>
  <si>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</si>
  <si>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</si>
  <si>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</si>
  <si>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</si>
  <si>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</si>
  <si>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</si>
  <si>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</si>
  <si>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</si>
  <si>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</si>
  <si>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</si>
  <si>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</si>
  <si>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</si>
  <si>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</si>
  <si>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</si>
  <si>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</si>
  <si>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</si>
  <si>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</si>
  <si>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</si>
  <si>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</si>
  <si>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</si>
  <si>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</si>
  <si>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</si>
  <si>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</si>
  <si>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</si>
  <si>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</si>
  <si>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</si>
  <si>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</si>
  <si>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</si>
  <si>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</si>
  <si>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</si>
  <si>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</si>
  <si>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</si>
  <si>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</si>
  <si>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</si>
  <si>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</si>
  <si>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</si>
  <si>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</si>
  <si>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</si>
  <si>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</si>
  <si>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</si>
  <si>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</si>
  <si>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</si>
  <si>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</si>
  <si>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</si>
  <si>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</si>
  <si>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</si>
  <si>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</si>
  <si>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</si>
  <si>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</si>
  <si>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</si>
  <si>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</si>
  <si>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</si>
  <si>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</si>
  <si>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</si>
  <si>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</si>
  <si>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</si>
  <si>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</si>
  <si>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</si>
  <si>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</si>
  <si>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</si>
  <si>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</si>
  <si>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</si>
  <si>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</si>
  <si>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</si>
  <si>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</si>
  <si>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</si>
  <si>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</si>
  <si>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</si>
  <si>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</si>
  <si>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</si>
  <si>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</si>
  <si>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</si>
  <si>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</si>
  <si>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</si>
  <si>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</si>
  <si>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</si>
  <si>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</si>
  <si>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</si>
  <si>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</si>
  <si>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</si>
  <si>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</si>
  <si>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</si>
  <si>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</si>
  <si>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</si>
  <si>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</si>
  <si>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</si>
  <si>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</si>
  <si>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</si>
  <si>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</si>
  <si>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</si>
  <si>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</si>
  <si>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</si>
  <si>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</si>
  <si>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</si>
  <si>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</si>
  <si>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</si>
  <si>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</si>
  <si>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</si>
  <si>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</si>
  <si>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</si>
  <si>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</si>
  <si>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</si>
  <si>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</si>
  <si>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</si>
  <si>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</si>
  <si>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</si>
  <si>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</si>
  <si>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</si>
  <si>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</si>
  <si>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</si>
  <si>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</si>
  <si>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</si>
  <si>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</si>
  <si>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</si>
  <si>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</si>
  <si>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</si>
  <si>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</si>
  <si>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</si>
  <si>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</si>
  <si>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</si>
  <si>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</si>
  <si>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</si>
  <si>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</si>
  <si>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</si>
  <si>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</si>
  <si>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</si>
  <si>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</si>
  <si>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</si>
  <si>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</si>
  <si>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</si>
  <si>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</si>
  <si>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</si>
  <si>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</si>
  <si>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</si>
  <si>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</si>
  <si>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</si>
  <si>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</si>
  <si>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</si>
  <si>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</si>
  <si>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</si>
  <si>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</si>
  <si>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</si>
  <si>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</si>
  <si>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</si>
  <si>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</si>
  <si>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</si>
  <si>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</si>
  <si>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</si>
  <si>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</si>
  <si>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</si>
  <si>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</si>
  <si>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</si>
  <si>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</si>
  <si>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</si>
  <si>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</si>
  <si>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</si>
  <si>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</si>
  <si>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</si>
  <si>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</si>
  <si>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</si>
  <si>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</si>
  <si>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</si>
  <si>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</si>
  <si>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</si>
  <si>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</si>
  <si>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</si>
  <si>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</si>
  <si>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</si>
  <si>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</si>
  <si>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</si>
  <si>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</si>
  <si>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</si>
  <si>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</si>
  <si>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</si>
  <si>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</si>
  <si>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</si>
  <si>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</si>
  <si>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</si>
  <si>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</si>
  <si>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</si>
  <si>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</si>
  <si>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</si>
  <si>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</si>
  <si>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</si>
  <si>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</si>
  <si>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</si>
  <si>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</si>
  <si>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</si>
  <si>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</si>
  <si>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</si>
  <si>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</si>
  <si>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</si>
  <si>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</si>
  <si>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</si>
  <si>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</si>
  <si>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</si>
  <si>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</si>
  <si>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</si>
  <si>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</si>
  <si>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</si>
  <si>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</si>
  <si>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</si>
  <si>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</si>
  <si>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</si>
  <si>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</si>
  <si>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</si>
  <si>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</si>
  <si>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</si>
  <si>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</si>
  <si>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</si>
  <si>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</si>
  <si>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</si>
  <si>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</si>
  <si>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</si>
  <si>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</si>
  <si>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</si>
  <si>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</si>
  <si>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</si>
  <si>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</si>
  <si>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</si>
  <si>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</si>
  <si>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</si>
  <si>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</si>
  <si>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</si>
  <si>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</si>
  <si>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</si>
  <si>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</si>
  <si>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</si>
  <si>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</si>
  <si>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</si>
  <si>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</si>
  <si>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</si>
  <si>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</si>
  <si>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</si>
  <si>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</si>
  <si>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</si>
  <si>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</si>
  <si>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</si>
  <si>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</si>
  <si>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</si>
  <si>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</si>
  <si>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</si>
  <si>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</si>
  <si>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</si>
  <si>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</si>
  <si>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</si>
  <si>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</si>
  <si>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</si>
  <si>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</si>
  <si>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</si>
  <si>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</si>
  <si>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</si>
  <si>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</si>
  <si>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</si>
  <si>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</si>
  <si>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</si>
  <si>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</si>
  <si>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</si>
  <si>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</si>
  <si>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</si>
  <si>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</si>
  <si>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</si>
  <si>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</si>
  <si>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</si>
  <si>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</si>
  <si>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</si>
  <si>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</si>
  <si>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</si>
  <si>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</si>
  <si>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</si>
  <si>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</si>
  <si>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</si>
  <si>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</si>
  <si>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</si>
  <si>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</si>
  <si>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</si>
  <si>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</si>
  <si>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</si>
  <si>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</si>
  <si>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</si>
  <si>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</si>
  <si>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</si>
  <si>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</si>
  <si>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</si>
  <si>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</si>
  <si>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</si>
  <si>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</si>
  <si>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</si>
  <si>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</si>
  <si>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</si>
  <si>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</si>
  <si>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</si>
  <si>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</si>
  <si>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</si>
  <si>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</si>
  <si>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</si>
  <si>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</si>
  <si>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</si>
  <si>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</si>
  <si>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</si>
  <si>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</si>
  <si>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</si>
  <si>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</si>
  <si>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</si>
  <si>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</si>
  <si>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</si>
  <si>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</si>
  <si>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</si>
  <si>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</si>
  <si>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</si>
  <si>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</si>
  <si>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</si>
  <si>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</si>
  <si>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</si>
  <si>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</si>
  <si>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</si>
  <si>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</si>
  <si>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</si>
  <si>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</si>
  <si>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</si>
  <si>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</si>
  <si>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</si>
  <si>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</si>
  <si>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</si>
  <si>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</si>
  <si>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</si>
  <si>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</si>
  <si>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</si>
  <si>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</si>
  <si>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</si>
  <si>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</si>
  <si>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</si>
  <si>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</si>
  <si>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</si>
  <si>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</si>
  <si>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</si>
  <si>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</si>
  <si>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</si>
  <si>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</si>
  <si>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</si>
  <si>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</si>
  <si>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</si>
  <si>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</si>
  <si>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</si>
  <si>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</si>
  <si>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</si>
  <si>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</si>
  <si>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</si>
  <si>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</si>
  <si>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</si>
  <si>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</si>
  <si>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</si>
  <si>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</si>
  <si>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</si>
  <si>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</si>
  <si>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</si>
  <si>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</si>
  <si>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</si>
  <si>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</si>
  <si>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</si>
  <si>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</si>
  <si>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</si>
  <si>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</si>
  <si>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</si>
  <si>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</si>
  <si>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</si>
  <si>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</si>
  <si>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</si>
  <si>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</si>
  <si>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</si>
  <si>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</si>
  <si>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</si>
  <si>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</si>
  <si>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</si>
  <si>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</si>
  <si>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</si>
  <si>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</si>
  <si>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</si>
  <si>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</si>
  <si>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</si>
  <si>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</si>
  <si>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</si>
  <si>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</si>
  <si>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</si>
  <si>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</si>
  <si>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</si>
  <si>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</si>
  <si>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</si>
  <si>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</si>
  <si>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</si>
  <si>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</si>
  <si>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</si>
  <si>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</si>
  <si>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</si>
  <si>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</si>
  <si>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</si>
  <si>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</si>
  <si>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</si>
  <si>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</si>
  <si>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</si>
  <si>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</si>
  <si>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</si>
  <si>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</si>
  <si>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</si>
  <si>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</si>
  <si>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</si>
  <si>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</si>
  <si>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</si>
  <si>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</si>
  <si>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</si>
  <si>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</si>
  <si>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</si>
  <si>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</si>
  <si>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</si>
  <si>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</si>
  <si>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</si>
  <si>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</si>
  <si>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</si>
  <si>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</si>
  <si>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</si>
  <si>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</si>
  <si>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</si>
  <si>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</si>
  <si>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</si>
  <si>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</si>
  <si>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</si>
  <si>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</si>
  <si>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</si>
  <si>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</si>
  <si>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</si>
  <si>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</si>
  <si>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</si>
  <si>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</si>
  <si>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</si>
  <si>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</si>
  <si>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</si>
  <si>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</si>
  <si>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</si>
  <si>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</si>
  <si>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</si>
  <si>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</si>
  <si>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</si>
  <si>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</si>
  <si>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</si>
  <si>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</si>
  <si>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</si>
  <si>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</si>
  <si>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</si>
  <si>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</si>
  <si>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</si>
  <si>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</si>
  <si>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</si>
  <si>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</si>
  <si>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</si>
  <si>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</si>
  <si>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</si>
  <si>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</si>
  <si>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</si>
  <si>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</si>
  <si>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</si>
  <si>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</si>
  <si>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</si>
  <si>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</si>
  <si>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</si>
  <si>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</si>
  <si>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</si>
  <si>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</si>
  <si>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</si>
  <si>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</si>
  <si>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</si>
  <si>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</si>
  <si>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</si>
  <si>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</si>
  <si>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</si>
  <si>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</si>
  <si>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</si>
  <si>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</si>
  <si>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</si>
  <si>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</si>
  <si>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</si>
  <si>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</si>
  <si>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</si>
  <si>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</si>
  <si>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</si>
  <si>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</si>
  <si>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</si>
  <si>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</si>
  <si>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</si>
  <si>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</si>
  <si>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</si>
  <si>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</si>
  <si>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</si>
  <si>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</si>
  <si>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</si>
  <si>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</si>
  <si>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</si>
  <si>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</si>
  <si>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</si>
  <si>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</si>
  <si>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</si>
  <si>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</si>
  <si>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</si>
  <si>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</si>
  <si>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</si>
  <si>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</si>
  <si>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</si>
  <si>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</si>
  <si>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</si>
  <si>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</si>
  <si>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</si>
  <si>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</si>
  <si>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</si>
  <si>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</si>
  <si>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</si>
  <si>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</si>
  <si>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</si>
  <si>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</si>
  <si>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</si>
  <si>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</si>
  <si>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</si>
  <si>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</si>
  <si>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</si>
  <si>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</si>
  <si>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</si>
  <si>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</si>
  <si>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</si>
  <si>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</si>
  <si>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</si>
  <si>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</si>
  <si>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</si>
  <si>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</si>
  <si>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</si>
  <si>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</si>
  <si>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</si>
  <si>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</si>
  <si>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</si>
  <si>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</si>
  <si>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</si>
  <si>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</si>
  <si>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</si>
  <si>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</si>
  <si>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</si>
  <si>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</si>
  <si>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</si>
  <si>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</si>
  <si>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</si>
  <si>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</si>
  <si>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</si>
  <si>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</si>
  <si>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</si>
  <si>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</si>
  <si>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</si>
  <si>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</si>
  <si>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</si>
  <si>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</si>
  <si>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</si>
  <si>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</si>
  <si>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</si>
  <si>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</si>
  <si>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</si>
  <si>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</si>
  <si>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</si>
  <si>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</si>
  <si>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</si>
  <si>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</si>
  <si>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</si>
  <si>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</si>
  <si>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</si>
  <si>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</si>
  <si>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</si>
  <si>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</si>
  <si>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</si>
  <si>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</si>
  <si>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</si>
  <si>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</si>
  <si>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</si>
  <si>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</si>
  <si>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</si>
  <si>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</si>
  <si>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</si>
  <si>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</si>
  <si>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</si>
  <si>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</si>
  <si>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</si>
  <si>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</si>
  <si>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</si>
  <si>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</si>
  <si>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</si>
  <si>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</si>
  <si>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</si>
  <si>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</si>
  <si>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</si>
  <si>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</si>
  <si>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</si>
  <si>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</si>
  <si>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</si>
  <si>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</si>
  <si>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</si>
  <si>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</si>
  <si>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</si>
  <si>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</si>
  <si>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</si>
  <si>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</si>
  <si>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</si>
  <si>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</si>
  <si>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</si>
  <si>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</si>
  <si>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</si>
  <si>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</si>
  <si>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</si>
  <si>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</si>
  <si>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</si>
  <si>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</si>
  <si>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</si>
  <si>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</si>
  <si>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</si>
  <si>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</si>
  <si>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</si>
  <si>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</si>
  <si>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</si>
  <si>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</si>
  <si>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</si>
  <si>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</si>
  <si>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</si>
  <si>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</si>
  <si>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</si>
  <si>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</si>
  <si>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</si>
  <si>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</si>
  <si>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</si>
  <si>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</si>
  <si>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</si>
  <si>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</si>
  <si>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</si>
  <si>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</si>
  <si>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</si>
  <si>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</si>
  <si>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</si>
  <si>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</si>
  <si>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</si>
  <si>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</si>
  <si>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</si>
  <si>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</si>
  <si>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</si>
  <si>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</si>
  <si>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</si>
  <si>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</si>
  <si>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</si>
  <si>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</si>
  <si>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</si>
  <si>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</si>
  <si>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</si>
  <si>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</si>
  <si>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</si>
  <si>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</si>
  <si>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</si>
  <si>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</si>
  <si>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</si>
  <si>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</si>
  <si>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</si>
  <si>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</si>
  <si>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</si>
  <si>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</si>
  <si>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</si>
  <si>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</si>
  <si>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</si>
  <si>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</si>
  <si>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</si>
  <si>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</si>
  <si>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</si>
  <si>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</si>
  <si>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</si>
  <si>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</si>
  <si>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</si>
  <si>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</si>
  <si>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</si>
  <si>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</si>
  <si>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</si>
  <si>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</si>
  <si>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</si>
  <si>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</si>
  <si>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</si>
  <si>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</si>
  <si>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</si>
  <si>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</si>
  <si>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</si>
  <si>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</si>
  <si>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</si>
  <si>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</si>
  <si>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</si>
  <si>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</si>
  <si>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</si>
  <si>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</si>
  <si>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</si>
  <si>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</si>
  <si>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</si>
  <si>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</si>
  <si>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</si>
  <si>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</si>
  <si>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</si>
  <si>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</si>
  <si>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</si>
  <si>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</si>
  <si>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</si>
  <si>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</si>
  <si>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</si>
  <si>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</si>
  <si>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</si>
  <si>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</si>
  <si>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</si>
  <si>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</si>
  <si>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</si>
  <si>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</si>
  <si>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</si>
  <si>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</si>
  <si>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</si>
  <si>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</si>
  <si>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</si>
  <si>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</si>
  <si>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</si>
  <si>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</si>
  <si>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</si>
  <si>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</si>
  <si>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</si>
  <si>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</si>
  <si>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</si>
  <si>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</si>
  <si>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</si>
  <si>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</si>
  <si>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</si>
  <si>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</si>
  <si>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</si>
  <si>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</si>
  <si>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</si>
  <si>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</si>
  <si>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</si>
  <si>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</si>
  <si>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</si>
  <si>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</si>
  <si>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</si>
  <si>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</si>
  <si>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</si>
  <si>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</si>
  <si>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</si>
  <si>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</si>
  <si>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</si>
  <si>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</si>
  <si>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</si>
  <si>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</si>
  <si>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</si>
  <si>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</si>
  <si>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</si>
  <si>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</si>
  <si>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</si>
  <si>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</si>
  <si>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</si>
  <si>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</si>
  <si>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</si>
  <si>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</si>
  <si>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</si>
  <si>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</si>
  <si>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</si>
  <si>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</si>
  <si>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</si>
  <si>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</si>
  <si>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</si>
  <si>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</si>
  <si>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</si>
  <si>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</si>
  <si>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</si>
  <si>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</si>
  <si>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</si>
  <si>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</si>
  <si>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</si>
  <si>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</si>
  <si>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</si>
  <si>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</si>
  <si>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</si>
  <si>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</si>
  <si>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</si>
  <si>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</si>
  <si>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</si>
  <si>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</si>
  <si>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</si>
  <si>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</si>
  <si>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</si>
  <si>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</si>
  <si>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</si>
  <si>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</si>
  <si>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</si>
  <si>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</si>
  <si>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</si>
  <si>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</si>
  <si>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</si>
  <si>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</si>
  <si>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</si>
  <si>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</si>
  <si>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</si>
  <si>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</si>
  <si>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</si>
  <si>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</si>
  <si>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</si>
  <si>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</si>
  <si>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</si>
  <si>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</si>
  <si>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</si>
  <si>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</si>
  <si>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</si>
  <si>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</si>
  <si>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</si>
  <si>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</si>
  <si>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</si>
  <si>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</si>
  <si>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</si>
  <si>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</si>
  <si>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</si>
  <si>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</si>
  <si>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</si>
  <si>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</si>
  <si>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</si>
  <si>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</si>
  <si>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</si>
  <si>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</si>
  <si>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</si>
  <si>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</si>
  <si>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</si>
  <si>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</si>
  <si>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</si>
  <si>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</si>
  <si>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</si>
  <si>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</si>
  <si>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</si>
  <si>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</si>
  <si>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</si>
  <si>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</si>
  <si>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</si>
  <si>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</si>
  <si>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</si>
  <si>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</si>
  <si>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</si>
  <si>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</si>
  <si>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</si>
  <si>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</si>
  <si>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</si>
  <si>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</si>
  <si>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</si>
  <si>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</si>
  <si>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</si>
  <si>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</si>
  <si>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</si>
  <si>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</si>
  <si>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</si>
  <si>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</si>
  <si>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</si>
  <si>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</si>
  <si>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</si>
  <si>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</si>
  <si>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</si>
  <si>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</si>
  <si>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</si>
  <si>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</si>
  <si>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</si>
  <si>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</si>
  <si>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</si>
  <si>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</si>
  <si>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</si>
  <si>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</si>
  <si>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</si>
  <si>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</si>
  <si>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</si>
  <si>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</si>
  <si>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</si>
  <si>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</si>
  <si>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</si>
  <si>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</si>
  <si>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</si>
  <si>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</si>
  <si>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</si>
  <si>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</si>
  <si>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</si>
  <si>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</si>
  <si>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</si>
  <si>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</si>
  <si>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</si>
  <si>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</si>
  <si>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</si>
  <si>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</si>
  <si>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</si>
  <si>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</si>
  <si>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</si>
  <si>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</si>
  <si>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</si>
  <si>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</si>
  <si>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</si>
  <si>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</si>
  <si>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</si>
  <si>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</si>
  <si>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</si>
  <si>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</si>
  <si>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</si>
  <si>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</si>
  <si>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</si>
  <si>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</si>
  <si>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</si>
  <si>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</si>
  <si>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</si>
  <si>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</si>
  <si>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</si>
  <si>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</si>
  <si>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</si>
  <si>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</si>
  <si>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</si>
  <si>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</si>
  <si>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</si>
  <si>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</si>
  <si>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</si>
  <si>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</si>
  <si>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</si>
  <si>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</si>
  <si>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</si>
  <si>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</si>
  <si>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</si>
  <si>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</si>
  <si>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</si>
  <si>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</si>
  <si>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</si>
  <si>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</si>
  <si>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</si>
  <si>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</si>
  <si>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</si>
  <si>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</si>
  <si>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</si>
  <si>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</si>
  <si>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</si>
  <si>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</si>
  <si>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</si>
  <si>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</si>
  <si>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</si>
  <si>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</si>
  <si>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</si>
  <si>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</si>
  <si>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</si>
  <si>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</si>
  <si>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</si>
  <si>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</si>
  <si>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</si>
  <si>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</si>
  <si>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</si>
  <si>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</si>
  <si>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</si>
  <si>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</si>
  <si>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</si>
  <si>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</si>
  <si>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</si>
  <si>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</si>
  <si>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</si>
  <si>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</si>
  <si>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</si>
  <si>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</si>
  <si>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</si>
  <si>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</si>
  <si>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</si>
  <si>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</si>
  <si>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</si>
  <si>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</si>
  <si>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</si>
  <si>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</si>
  <si>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</si>
  <si>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</si>
  <si>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</si>
  <si>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</si>
  <si>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</si>
  <si>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</si>
  <si>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</si>
  <si>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</si>
  <si>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</si>
  <si>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</si>
  <si>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</si>
  <si>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</si>
  <si>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</si>
  <si>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</si>
  <si>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</si>
  <si>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</si>
  <si>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</si>
  <si>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</si>
  <si>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</si>
  <si>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</si>
  <si>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</si>
  <si>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</si>
  <si>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</si>
  <si>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</si>
  <si>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</si>
  <si>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</si>
  <si>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</si>
  <si>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</si>
  <si>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</si>
  <si>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</si>
  <si>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</si>
  <si>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</si>
  <si>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</si>
  <si>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</si>
  <si>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</si>
  <si>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</si>
  <si>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</si>
  <si>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</si>
  <si>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</si>
  <si>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</si>
  <si>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</si>
  <si>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</si>
  <si>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</si>
  <si>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</si>
  <si>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</si>
  <si>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</si>
  <si>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</si>
  <si>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</si>
  <si>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</si>
  <si>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</si>
  <si>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</si>
  <si>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</si>
  <si>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</si>
  <si>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</si>
  <si>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</si>
  <si>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</si>
  <si>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</si>
  <si>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</si>
  <si>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</si>
  <si>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</si>
  <si>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</si>
  <si>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</si>
  <si>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</si>
  <si>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</si>
  <si>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</si>
  <si>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</si>
  <si>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</si>
  <si>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</si>
  <si>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</si>
  <si>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</si>
  <si>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</si>
  <si>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</si>
  <si>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</si>
  <si>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</si>
  <si>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</si>
  <si>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</si>
  <si>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</si>
  <si>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</si>
  <si>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</si>
  <si>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</si>
  <si>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</si>
  <si>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</si>
  <si>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</si>
  <si>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</si>
  <si>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</si>
  <si>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</si>
  <si>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</si>
  <si>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</si>
  <si>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</si>
  <si>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</si>
  <si>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</si>
  <si>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</si>
  <si>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</si>
  <si>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</si>
  <si>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</si>
  <si>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</si>
  <si>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</si>
  <si>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</si>
  <si>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</si>
  <si>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</si>
  <si>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</si>
  <si>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</si>
  <si>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</si>
  <si>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</si>
  <si>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</si>
  <si>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</si>
  <si>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</si>
  <si>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</si>
  <si>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</si>
  <si>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</si>
  <si>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</si>
  <si>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</si>
  <si>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</si>
  <si>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</si>
  <si>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</si>
  <si>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</si>
  <si>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</si>
  <si>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</si>
  <si>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</si>
  <si>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</si>
  <si>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</si>
  <si>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</si>
  <si>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</si>
  <si>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</si>
  <si>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</si>
  <si>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</si>
  <si>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</si>
  <si>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</si>
  <si>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</si>
  <si>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</si>
  <si>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</si>
  <si>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</si>
  <si>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</si>
  <si>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</si>
  <si>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</si>
  <si>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</si>
  <si>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</si>
  <si>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</si>
  <si>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</si>
  <si>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</si>
  <si>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</si>
  <si>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</si>
  <si>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</si>
  <si>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</si>
  <si>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</si>
  <si>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</si>
  <si>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</si>
  <si>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</si>
  <si>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</si>
  <si>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</si>
  <si>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</si>
  <si>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</si>
  <si>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</si>
  <si>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</si>
  <si>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</si>
  <si>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</si>
  <si>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</si>
  <si>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</si>
  <si>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</si>
  <si>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</si>
  <si>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</si>
  <si>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</si>
  <si>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</si>
  <si>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</si>
  <si>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</si>
  <si>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</si>
  <si>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</si>
  <si>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</si>
  <si>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</si>
  <si>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</si>
  <si>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</si>
  <si>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</si>
  <si>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</si>
  <si>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</si>
  <si>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</si>
  <si>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</si>
  <si>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</si>
  <si>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</si>
  <si>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</si>
  <si>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</si>
  <si>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</si>
  <si>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</si>
  <si>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</si>
  <si>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</si>
  <si>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</si>
  <si>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</si>
  <si>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</si>
  <si>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</si>
  <si>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</si>
  <si>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</si>
  <si>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</si>
  <si>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</si>
  <si>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</si>
  <si>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</si>
  <si>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</si>
  <si>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</si>
  <si>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</si>
  <si>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</si>
  <si>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</si>
  <si>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</si>
  <si>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</si>
  <si>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</si>
  <si>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</si>
  <si>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</si>
  <si>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</si>
  <si>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</si>
  <si>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</si>
  <si>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</si>
  <si>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</si>
  <si>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</si>
  <si>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</si>
  <si>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</si>
  <si>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</si>
  <si>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</si>
  <si>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</si>
  <si>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</si>
  <si>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</si>
  <si>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</si>
  <si>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</si>
  <si>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</si>
  <si>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</si>
  <si>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</si>
  <si>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</si>
  <si>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</si>
  <si>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</si>
  <si>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</si>
  <si>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</si>
  <si>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</si>
  <si>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</si>
  <si>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</si>
  <si>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</si>
  <si>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</si>
  <si>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</si>
  <si>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</si>
  <si>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</si>
  <si>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</si>
  <si>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</si>
  <si>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</si>
  <si>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</si>
  <si>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</si>
  <si>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</si>
  <si>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</si>
  <si>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</si>
  <si>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</si>
  <si>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</si>
  <si>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</si>
  <si>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</si>
  <si>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</si>
  <si>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</si>
  <si>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</si>
  <si>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</si>
  <si>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</si>
  <si>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</si>
  <si>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</si>
  <si>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</si>
  <si>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</si>
  <si>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</si>
  <si>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</si>
  <si>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</si>
  <si>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</si>
  <si>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</si>
  <si>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</si>
  <si>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</si>
  <si>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</si>
  <si>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</si>
  <si>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</si>
  <si>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</si>
  <si>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</si>
  <si>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</si>
  <si>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</si>
  <si>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</si>
  <si>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</si>
  <si>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</si>
  <si>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</si>
  <si>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</si>
  <si>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</si>
  <si>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</si>
  <si>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</si>
  <si>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</si>
  <si>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</si>
  <si>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</si>
  <si>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</si>
  <si>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</si>
  <si>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</si>
  <si>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</si>
  <si>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</si>
  <si>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</si>
  <si>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</si>
  <si>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</si>
  <si>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</si>
  <si>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</si>
  <si>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</si>
  <si>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</si>
  <si>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</si>
  <si>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</si>
  <si>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</si>
  <si>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</si>
  <si>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</si>
  <si>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</si>
  <si>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</si>
  <si>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</si>
  <si>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</si>
  <si>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</si>
  <si>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</si>
  <si>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</si>
  <si>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</si>
  <si>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</si>
  <si>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</si>
  <si>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</si>
  <si>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</si>
  <si>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</si>
  <si>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</si>
  <si>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</si>
  <si>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</si>
  <si>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</si>
  <si>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</si>
  <si>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</si>
  <si>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</si>
  <si>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</si>
  <si>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</si>
  <si>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</si>
  <si>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</si>
  <si>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</si>
  <si>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</si>
  <si>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</si>
  <si>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</si>
  <si>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</si>
  <si>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</si>
  <si>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</si>
  <si>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</si>
  <si>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</si>
  <si>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</si>
  <si>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</si>
  <si>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</si>
  <si>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</si>
  <si>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</si>
  <si>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</si>
  <si>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</si>
  <si>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</si>
  <si>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</si>
  <si>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</si>
  <si>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</si>
  <si>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</si>
  <si>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</si>
  <si>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</si>
  <si>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</si>
  <si>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</si>
  <si>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</si>
  <si>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</si>
  <si>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</si>
  <si>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</si>
  <si>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</si>
  <si>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</si>
  <si>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</si>
  <si>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</si>
  <si>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</si>
  <si>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</si>
  <si>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</si>
  <si>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</si>
  <si>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</si>
  <si>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</si>
  <si>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</si>
  <si>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</si>
  <si>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</si>
  <si>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</si>
  <si>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</si>
  <si>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</si>
  <si>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</si>
  <si>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</si>
  <si>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</si>
  <si>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</si>
  <si>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</si>
  <si>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</si>
  <si>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</si>
  <si>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</si>
  <si>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</si>
  <si>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</si>
  <si>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</si>
  <si>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</si>
  <si>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</si>
  <si>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</si>
  <si>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</si>
  <si>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</si>
  <si>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</si>
  <si>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</si>
  <si>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</si>
  <si>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</si>
  <si>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</si>
  <si>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</si>
  <si>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</si>
  <si>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</si>
  <si>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</si>
  <si>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</si>
  <si>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</si>
  <si>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</si>
  <si>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</si>
  <si>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</si>
  <si>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</si>
  <si>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</si>
  <si>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</si>
  <si>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</si>
  <si>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</si>
  <si>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</si>
  <si>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</si>
  <si>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</si>
  <si>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</si>
  <si>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</si>
  <si>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</si>
  <si>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</si>
  <si>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</si>
  <si>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</si>
  <si>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</si>
  <si>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</si>
  <si>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</si>
  <si>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</si>
  <si>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</si>
  <si>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</si>
  <si>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</si>
  <si>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</si>
  <si>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</si>
  <si>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</si>
  <si>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</si>
  <si>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</si>
  <si>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</si>
  <si>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</si>
  <si>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</si>
  <si>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</si>
  <si>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</si>
  <si>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</si>
  <si>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</si>
  <si>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</si>
  <si>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</si>
  <si>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</si>
  <si>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</si>
  <si>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</si>
  <si>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</si>
  <si>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</si>
  <si>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</si>
  <si>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</si>
  <si>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</si>
  <si>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</si>
  <si>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</si>
  <si>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</si>
  <si>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</si>
  <si>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</si>
  <si>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</si>
  <si>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</si>
  <si>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</si>
  <si>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</si>
  <si>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</si>
  <si>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</si>
  <si>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</si>
  <si>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</si>
  <si>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</si>
  <si>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</si>
  <si>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</si>
  <si>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</si>
  <si>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</si>
  <si>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</si>
  <si>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</si>
  <si>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</si>
  <si>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</si>
  <si>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</si>
  <si>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</si>
  <si>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</si>
  <si>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</si>
  <si>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</si>
  <si>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</si>
  <si>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</si>
  <si>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</si>
  <si>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</si>
  <si>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</si>
  <si>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</si>
  <si>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</si>
  <si>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</si>
  <si>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</si>
  <si>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</si>
  <si>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</si>
  <si>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</si>
  <si>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</si>
  <si>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</si>
  <si>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</si>
  <si>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</si>
  <si>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</si>
  <si>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</si>
  <si>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</si>
  <si>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</si>
  <si>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</si>
  <si>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</si>
  <si>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</si>
  <si>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</si>
  <si>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</si>
  <si>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</si>
  <si>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</si>
  <si>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</si>
  <si>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</si>
  <si>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</si>
  <si>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</si>
  <si>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</si>
  <si>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</si>
  <si>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</si>
  <si>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</si>
  <si>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</si>
  <si>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</si>
  <si>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</si>
  <si>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</si>
  <si>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</si>
  <si>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</si>
  <si>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</si>
  <si>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</si>
  <si>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</si>
  <si>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</si>
  <si>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</si>
  <si>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</si>
  <si>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</si>
  <si>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</si>
  <si>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</si>
  <si>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</si>
  <si>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</si>
  <si>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</si>
  <si>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</si>
  <si>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</si>
  <si>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</si>
  <si>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</si>
  <si>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</si>
  <si>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</si>
  <si>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</si>
  <si>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</si>
  <si>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</si>
  <si>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</si>
  <si>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</si>
  <si>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</si>
  <si>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</si>
  <si>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</si>
  <si>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</si>
  <si>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</si>
  <si>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</si>
  <si>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</si>
  <si>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</si>
  <si>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</si>
  <si>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</si>
  <si>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</si>
  <si>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</si>
  <si>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</si>
  <si>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</si>
  <si>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</si>
  <si>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</si>
  <si>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</si>
  <si>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</si>
  <si>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</si>
  <si>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</si>
  <si>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</si>
  <si>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</si>
  <si>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</si>
  <si>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</si>
  <si>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</si>
  <si>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</si>
  <si>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</si>
  <si>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</si>
  <si>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</si>
  <si>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</si>
  <si>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</si>
  <si>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</si>
  <si>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</si>
  <si>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</si>
  <si>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</si>
  <si>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</si>
  <si>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</si>
  <si>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</si>
  <si>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</si>
  <si>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</si>
  <si>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</si>
  <si>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</si>
  <si>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</si>
  <si>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</si>
  <si>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</si>
  <si>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</si>
  <si>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</si>
  <si>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</si>
  <si>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</si>
  <si>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</si>
  <si>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</si>
  <si>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</si>
  <si>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</si>
  <si>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</si>
  <si>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</si>
  <si>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</si>
  <si>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</si>
  <si>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</si>
  <si>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</si>
  <si>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</si>
  <si>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</si>
  <si>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</si>
  <si>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</si>
  <si>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</si>
  <si>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</si>
  <si>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</si>
  <si>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</si>
  <si>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</si>
  <si>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</si>
  <si>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</si>
  <si>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</si>
  <si>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</si>
  <si>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</si>
  <si>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</si>
  <si>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</si>
  <si>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</si>
  <si>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</si>
  <si>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</si>
  <si>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</si>
  <si>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</si>
  <si>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</si>
  <si>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</si>
  <si>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</si>
  <si>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</si>
  <si>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</si>
  <si>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</si>
  <si>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</si>
  <si>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</si>
  <si>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</si>
  <si>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</si>
  <si>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</si>
  <si>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</si>
  <si>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</si>
  <si>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</si>
  <si>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</si>
  <si>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</si>
  <si>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</si>
  <si>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</si>
  <si>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</si>
  <si>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</si>
  <si>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</si>
  <si>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</si>
  <si>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</si>
  <si>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</si>
  <si>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</si>
  <si>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</si>
  <si>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</si>
  <si>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</si>
  <si>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</si>
  <si>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</si>
  <si>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</si>
  <si>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</si>
  <si>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</si>
  <si>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</si>
  <si>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</si>
  <si>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</si>
  <si>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</si>
  <si>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</si>
  <si>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</si>
  <si>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</si>
  <si>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</si>
  <si>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</si>
  <si>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</si>
  <si>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</si>
  <si>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</si>
  <si>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</si>
  <si>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</si>
  <si>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</si>
  <si>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</si>
  <si>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</si>
  <si>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</si>
  <si>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</si>
  <si>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</si>
  <si>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</si>
  <si>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</si>
  <si>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</si>
  <si>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</si>
  <si>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</si>
  <si>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</si>
  <si>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</si>
  <si>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</si>
  <si>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</si>
  <si>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</si>
  <si>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</si>
  <si>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</si>
  <si>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</si>
  <si>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</si>
  <si>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</si>
  <si>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</si>
  <si>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</si>
  <si>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</si>
  <si>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</si>
  <si>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</si>
  <si>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</si>
  <si>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</si>
  <si>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</si>
  <si>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</si>
  <si>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</si>
  <si>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</si>
  <si>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</si>
  <si>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</si>
  <si>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</si>
  <si>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</si>
  <si>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</si>
  <si>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</si>
  <si>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</si>
  <si>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</si>
  <si>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</si>
  <si>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</si>
  <si>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</si>
  <si>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</si>
  <si>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</si>
  <si>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</si>
  <si>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</si>
  <si>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</si>
  <si>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</si>
  <si>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</si>
  <si>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</si>
  <si>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</si>
  <si>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</si>
  <si>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</si>
  <si>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</si>
  <si>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</si>
  <si>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</si>
  <si>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</si>
  <si>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</si>
  <si>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</si>
  <si>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</si>
  <si>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</si>
  <si>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</si>
  <si>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</si>
  <si>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</si>
  <si>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</si>
  <si>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</si>
  <si>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</si>
  <si>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</si>
  <si>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</si>
  <si>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</si>
  <si>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</si>
  <si>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</si>
  <si>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</si>
  <si>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</si>
  <si>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</si>
  <si>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</si>
  <si>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</si>
  <si>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</si>
  <si>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</si>
  <si>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</si>
  <si>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</si>
  <si>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</si>
  <si>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</si>
  <si>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</si>
  <si>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</si>
  <si>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</si>
  <si>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</si>
  <si>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</si>
  <si>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</si>
  <si>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</si>
  <si>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</si>
  <si>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</si>
  <si>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</si>
  <si>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</si>
  <si>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</si>
  <si>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</si>
  <si>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</si>
  <si>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</si>
  <si>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</si>
  <si>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</si>
  <si>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</si>
  <si>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</si>
  <si>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</si>
  <si>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</si>
  <si>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</si>
  <si>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</si>
  <si>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</si>
  <si>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</si>
  <si>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</si>
  <si>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</si>
  <si>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</si>
  <si>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</si>
  <si>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</si>
  <si>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</si>
  <si>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</si>
  <si>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</si>
  <si>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</si>
  <si>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</si>
  <si>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</si>
  <si>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</si>
  <si>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</si>
  <si>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</si>
  <si>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</si>
  <si>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</si>
  <si>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</si>
  <si>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</si>
  <si>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</si>
  <si>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</si>
  <si>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</si>
  <si>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</si>
  <si>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</si>
  <si>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</si>
  <si>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</si>
  <si>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</si>
  <si>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</si>
  <si>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</si>
  <si>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</si>
  <si>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</si>
  <si>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</si>
  <si>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</si>
  <si>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</si>
  <si>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</si>
  <si>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</si>
  <si>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</si>
  <si>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</si>
  <si>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</si>
  <si>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</si>
  <si>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</si>
  <si>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</si>
  <si>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</si>
  <si>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</si>
  <si>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</si>
  <si>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</si>
  <si>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</si>
  <si>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</si>
  <si>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</si>
  <si>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</si>
  <si>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</si>
  <si>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</si>
  <si>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</si>
  <si>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</si>
  <si>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</si>
  <si>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</si>
  <si>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</si>
  <si>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</si>
  <si>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</si>
  <si>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</si>
  <si>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</si>
  <si>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</si>
  <si>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</si>
  <si>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</si>
  <si>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</si>
  <si>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</si>
  <si>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</si>
  <si>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</si>
  <si>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</si>
  <si>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</si>
  <si>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</si>
  <si>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</si>
  <si>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</si>
  <si>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</si>
  <si>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</si>
  <si>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</si>
  <si>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</si>
  <si>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</si>
  <si>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</si>
  <si>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</si>
  <si>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</si>
  <si>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</si>
  <si>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</si>
  <si>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</si>
  <si>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</si>
  <si>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</si>
  <si>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</si>
  <si>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</si>
  <si>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</si>
  <si>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</si>
  <si>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</si>
  <si>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</si>
  <si>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</si>
  <si>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</si>
  <si>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</si>
  <si>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</si>
  <si>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</si>
  <si>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</si>
  <si>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</si>
  <si>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</si>
  <si>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</si>
  <si>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</si>
  <si>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</si>
  <si>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</si>
  <si>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</si>
  <si>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</si>
  <si>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</si>
  <si>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</si>
  <si>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</si>
  <si>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</si>
  <si>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</si>
  <si>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</si>
  <si>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</si>
  <si>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</si>
  <si>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</si>
  <si>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</si>
  <si>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</si>
  <si>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</si>
  <si>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</si>
  <si>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</si>
  <si>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</si>
  <si>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</si>
  <si>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</si>
  <si>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</si>
  <si>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</si>
  <si>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</si>
  <si>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</si>
  <si>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</si>
  <si>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</si>
  <si>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</si>
  <si>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</si>
  <si>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</si>
  <si>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</si>
  <si>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</si>
  <si>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</si>
  <si>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</si>
  <si>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</si>
  <si>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</si>
  <si>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</si>
  <si>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</si>
  <si>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</si>
  <si>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</si>
  <si>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</si>
  <si>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</si>
  <si>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</si>
  <si>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</si>
  <si>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</si>
  <si>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</si>
  <si>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</si>
  <si>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</si>
  <si>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</si>
  <si>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</si>
  <si>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</si>
  <si>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</si>
  <si>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</si>
  <si>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</si>
  <si>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</si>
  <si>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</si>
  <si>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</si>
  <si>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</si>
  <si>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</si>
  <si>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</si>
  <si>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</si>
  <si>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</si>
  <si>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</si>
  <si>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</si>
  <si>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</si>
  <si>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</si>
  <si>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</si>
  <si>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</si>
  <si>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</si>
  <si>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</si>
  <si>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</si>
  <si>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</si>
  <si>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</si>
  <si>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</si>
  <si>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</si>
  <si>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</si>
  <si>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</si>
  <si>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</si>
  <si>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</si>
  <si>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</si>
  <si>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</si>
  <si>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</si>
  <si>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</si>
  <si>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</si>
  <si>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</si>
  <si>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</si>
  <si>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</si>
  <si>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</si>
  <si>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</si>
  <si>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</si>
  <si>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</si>
  <si>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</si>
  <si>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</si>
  <si>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</si>
  <si>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</si>
  <si>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</si>
  <si>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</si>
  <si>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</si>
  <si>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</si>
  <si>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</si>
  <si>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</si>
  <si>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</si>
  <si>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</si>
  <si>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</si>
  <si>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</si>
  <si>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</si>
  <si>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</si>
  <si>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</si>
  <si>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</si>
  <si>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</si>
  <si>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</si>
  <si>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</si>
  <si>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</si>
  <si>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</si>
  <si>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</si>
  <si>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</si>
  <si>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</si>
  <si>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</si>
  <si>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</si>
  <si>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</si>
  <si>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</si>
  <si>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</si>
  <si>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</si>
  <si>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</si>
  <si>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</si>
  <si>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</si>
  <si>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</si>
  <si>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</si>
  <si>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</si>
  <si>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</si>
  <si>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</si>
  <si>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</si>
  <si>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</si>
  <si>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</si>
  <si>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</si>
  <si>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</si>
  <si>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</si>
  <si>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</si>
  <si>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</si>
  <si>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</si>
  <si>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</si>
  <si>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</si>
  <si>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</si>
  <si>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</si>
  <si>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</si>
  <si>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</si>
  <si>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</si>
  <si>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</si>
  <si>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</si>
  <si>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</si>
  <si>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</si>
  <si>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</si>
  <si>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</si>
  <si>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</si>
  <si>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</si>
  <si>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</si>
  <si>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</si>
  <si>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</si>
  <si>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</si>
  <si>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</si>
  <si>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</si>
  <si>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</si>
  <si>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</si>
  <si>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</si>
  <si>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</si>
  <si>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</si>
  <si>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</si>
  <si>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</si>
  <si>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</si>
  <si>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</si>
  <si>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</si>
  <si>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</si>
  <si>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</si>
  <si>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</si>
  <si>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</si>
  <si>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</si>
  <si>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</si>
  <si>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</si>
  <si>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</si>
  <si>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</si>
  <si>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</si>
  <si>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</si>
  <si>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</si>
  <si>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</si>
  <si>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</si>
  <si>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</si>
  <si>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</si>
  <si>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</si>
  <si>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</si>
  <si>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</si>
  <si>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</si>
  <si>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</si>
  <si>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</si>
  <si>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</si>
  <si>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</si>
  <si>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</si>
  <si>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</si>
  <si>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</si>
  <si>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</si>
  <si>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</si>
  <si>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</si>
  <si>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</si>
  <si>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</si>
  <si>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</si>
  <si>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</si>
  <si>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</si>
  <si>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</si>
  <si>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</si>
  <si>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</si>
  <si>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</si>
  <si>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</si>
  <si>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</si>
  <si>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</si>
  <si>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</si>
  <si>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</si>
  <si>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</si>
  <si>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</si>
  <si>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</si>
  <si>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</si>
  <si>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</si>
  <si>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</si>
  <si>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</si>
  <si>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</si>
  <si>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</si>
  <si>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</si>
  <si>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</si>
  <si>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</si>
  <si>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</si>
  <si>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</si>
  <si>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</si>
  <si>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</si>
  <si>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</si>
  <si>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</si>
  <si>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</si>
  <si>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</si>
  <si>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</si>
  <si>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</si>
  <si>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</si>
  <si>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</si>
  <si>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</si>
  <si>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</si>
  <si>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</si>
  <si>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</si>
  <si>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</si>
  <si>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</si>
  <si>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</si>
  <si>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</si>
  <si>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</si>
  <si>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</si>
  <si>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</si>
  <si>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</si>
  <si>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</si>
  <si>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</si>
  <si>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</si>
  <si>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</si>
  <si>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</si>
  <si>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</si>
  <si>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</si>
  <si>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</si>
  <si>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</si>
  <si>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</si>
  <si>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</si>
  <si>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</si>
  <si>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</si>
  <si>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</si>
  <si>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</si>
  <si>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</si>
  <si>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</si>
  <si>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</si>
  <si>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</si>
  <si>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</si>
  <si>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</si>
  <si>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</si>
  <si>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</si>
  <si>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</si>
  <si>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</si>
  <si>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</si>
  <si>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</si>
  <si>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</si>
  <si>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</si>
  <si>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</si>
  <si>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</si>
  <si>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</si>
  <si>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</si>
  <si>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</si>
  <si>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</si>
  <si>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</si>
  <si>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</si>
  <si>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</si>
  <si>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</si>
  <si>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</si>
  <si>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</si>
  <si>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</si>
  <si>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</si>
  <si>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</si>
  <si>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</si>
  <si>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</si>
  <si>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</si>
  <si>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</si>
  <si>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</si>
  <si>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</si>
  <si>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</si>
  <si>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</si>
  <si>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</si>
  <si>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</si>
  <si>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</si>
  <si>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</si>
  <si>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</si>
  <si>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</si>
  <si>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</si>
  <si>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</si>
  <si>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</si>
  <si>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</si>
  <si>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</si>
  <si>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</si>
  <si>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</si>
  <si>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</si>
  <si>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</si>
  <si>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</si>
  <si>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</si>
  <si>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</si>
  <si>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</si>
  <si>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</si>
  <si>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</si>
  <si>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</si>
  <si>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</si>
  <si>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</si>
  <si>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</si>
  <si>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</si>
  <si>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</si>
  <si>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</si>
  <si>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</si>
  <si>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</si>
  <si>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</si>
  <si>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</si>
  <si>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</si>
  <si>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</si>
  <si>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</si>
  <si>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</si>
  <si>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</si>
  <si>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</si>
  <si>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</si>
  <si>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</si>
  <si>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</si>
  <si>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</si>
  <si>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</si>
  <si>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</si>
  <si>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</si>
  <si>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</si>
  <si>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</si>
  <si>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</si>
  <si>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</si>
  <si>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</si>
  <si>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</si>
  <si>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</si>
  <si>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</si>
  <si>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</si>
  <si>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</si>
  <si>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</si>
  <si>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</si>
  <si>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</si>
  <si>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</si>
  <si>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</si>
  <si>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</si>
  <si>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</si>
  <si>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</si>
  <si>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</si>
  <si>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</si>
  <si>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</si>
  <si>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</si>
  <si>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</si>
  <si>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</si>
  <si>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</si>
  <si>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</si>
  <si>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</si>
  <si>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</si>
  <si>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</si>
  <si>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</si>
  <si>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</si>
  <si>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</si>
  <si>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</si>
  <si>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</si>
  <si>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</si>
  <si>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</si>
  <si>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</si>
  <si>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</si>
  <si>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</si>
  <si>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</si>
  <si>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</si>
  <si>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</si>
  <si>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</si>
  <si>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</si>
  <si>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</si>
  <si>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</si>
  <si>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</si>
  <si>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</si>
  <si>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</si>
  <si>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</si>
  <si>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</si>
  <si>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</si>
  <si>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</si>
  <si>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</si>
  <si>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</si>
  <si>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</si>
  <si>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</si>
  <si>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</si>
  <si>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</si>
  <si>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</si>
  <si>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</si>
  <si>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</si>
  <si>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</si>
  <si>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</si>
  <si>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</si>
  <si>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</si>
  <si>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</si>
  <si>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</si>
  <si>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</si>
  <si>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</si>
  <si>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</si>
  <si>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</si>
  <si>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</si>
  <si>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</si>
  <si>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</si>
  <si>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</si>
  <si>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</si>
  <si>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</si>
  <si>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</si>
  <si>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</si>
  <si>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</si>
  <si>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</si>
  <si>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</si>
  <si>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</si>
  <si>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</si>
  <si>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</si>
  <si>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</si>
  <si>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</si>
  <si>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</si>
  <si>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</si>
  <si>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</si>
  <si>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</si>
  <si>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</si>
  <si>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</si>
  <si>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</si>
  <si>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</si>
  <si>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</si>
  <si>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</si>
  <si>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</si>
  <si>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</si>
  <si>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</si>
  <si>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</si>
  <si>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</si>
  <si>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</si>
  <si>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</si>
  <si>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</si>
  <si>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</si>
  <si>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</si>
  <si>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</si>
  <si>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</si>
  <si>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</si>
  <si>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</si>
  <si>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</si>
  <si>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</si>
  <si>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</si>
  <si>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</si>
  <si>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</si>
  <si>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</si>
  <si>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</si>
  <si>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</si>
  <si>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</si>
  <si>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</si>
  <si>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</si>
  <si>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</si>
  <si>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</si>
  <si>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</si>
  <si>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</si>
  <si>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</si>
  <si>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</si>
  <si>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</si>
  <si>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</si>
  <si>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</si>
  <si>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</si>
  <si>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</si>
  <si>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</si>
  <si>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</si>
  <si>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</si>
  <si>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</si>
  <si>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</si>
  <si>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</si>
  <si>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</si>
  <si>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</si>
  <si>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</si>
  <si>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</si>
  <si>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</si>
  <si>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</si>
  <si>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</si>
  <si>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</si>
  <si>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</si>
  <si>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Arnold Magnetic Technologies</t>
  </si>
  <si>
    <t>Christopher Bacon</t>
  </si>
  <si>
    <t>cbacon@arnoldmagnetics.com</t>
  </si>
  <si>
    <t>585-385-9010</t>
  </si>
  <si>
    <t>Michelle Mikiewicz</t>
  </si>
  <si>
    <t>mmikiewicz@arnoldmagnetics.com</t>
  </si>
  <si>
    <t>We publicize our CMRT and EMRT templates @ www.arnoldmagnetics.com</t>
  </si>
  <si>
    <t>China</t>
  </si>
  <si>
    <t>Finland</t>
  </si>
  <si>
    <t>Belgium</t>
  </si>
  <si>
    <t>Canada</t>
  </si>
  <si>
    <t>Congo, Democratic Republic Of The</t>
  </si>
  <si>
    <t>Morocco</t>
  </si>
  <si>
    <t>Australia</t>
  </si>
  <si>
    <t>Korea, Republic Of</t>
  </si>
  <si>
    <t>Taiwan, Province Of China</t>
  </si>
  <si>
    <t>CID003227</t>
  </si>
  <si>
    <t>Gangzhou Yi Hao Umicore Industry Co.</t>
  </si>
  <si>
    <t>Jiangxi Jiangwu Cobalt industrial Co., Ltd.</t>
  </si>
  <si>
    <t>Aust-Agder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</si>
</sst>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indexed="12"/>
      <name val="Cambria"/>
      <family val="3"/>
      <charset val="128"/>
      <scheme val="major"/>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49" fontId="0" fillId="0" borderId="51" xfId="0" applyNumberFormat="1" applyBorder="1" applyAlignment="1" applyProtection="1">
      <alignment vertical="center"/>
      <protection locked="0"/>
    </xf>
    <xf numFmtId="0" fontId="0" fillId="0" borderId="76" xfId="0" applyBorder="1" applyAlignment="1" applyProtection="1">
      <alignment horizontal="left" vertical="center" wrapText="1"/>
      <protection locked="0" hidden="1"/>
    </xf>
    <xf numFmtId="0" fontId="0" fillId="0" borderId="51" xfId="0" applyBorder="1" applyAlignment="1" applyProtection="1">
      <alignment vertical="center" wrapText="1"/>
      <protection locked="0" hidden="1"/>
    </xf>
    <xf numFmtId="0" fontId="0" fillId="45" borderId="30" xfId="0" applyFill="1" applyBorder="1" applyAlignment="1" applyProtection="1">
      <alignment horizontal="left" vertical="center" wrapText="1"/>
      <protection locked="0" hidden="1"/>
    </xf>
    <xf numFmtId="0" fontId="0" fillId="45" borderId="19" xfId="0" applyFill="1" applyBorder="1" applyAlignment="1" applyProtection="1">
      <alignment horizontal="left" vertical="center" wrapText="1"/>
      <protection locked="0" hidden="1"/>
    </xf>
    <xf numFmtId="49" fontId="0" fillId="0" borderId="46" xfId="0" applyNumberFormat="1" applyBorder="1" applyAlignment="1" applyProtection="1">
      <alignment vertical="center"/>
      <protection locked="0"/>
    </xf>
    <xf numFmtId="0" fontId="0" fillId="0" borderId="46" xfId="0" applyBorder="1" applyAlignment="1" applyProtection="1">
      <alignment vertical="center" wrapText="1"/>
      <protection locked="0" hidden="1"/>
    </xf>
    <xf numFmtId="49" fontId="0" fillId="0" borderId="77" xfId="0" applyNumberFormat="1" applyBorder="1" applyAlignment="1" applyProtection="1">
      <alignment vertical="center"/>
      <protection locked="0"/>
    </xf>
    <xf numFmtId="0" fontId="0" fillId="0" borderId="77" xfId="0" applyBorder="1" applyAlignment="1" applyProtection="1">
      <alignment horizontal="left" vertical="center" wrapText="1"/>
      <protection locked="0" hidden="1"/>
    </xf>
    <xf numFmtId="0" fontId="0" fillId="0" borderId="77" xfId="0" applyBorder="1" applyAlignment="1" applyProtection="1">
      <alignment vertical="center" wrapText="1"/>
      <protection locked="0" hidden="1"/>
    </xf>
    <xf numFmtId="0" fontId="0" fillId="45" borderId="77" xfId="0" applyFill="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7" fillId="45" borderId="56" xfId="498" applyFont="1" applyFill="1" applyBorder="1" applyAlignment="1" applyProtection="1">
      <alignment horizontal="left" vertical="center" wrapText="1"/>
      <protection locked="0"/>
    </xf>
    <xf numFmtId="0" fontId="118" fillId="45" borderId="11" xfId="0" applyFont="1" applyFill="1" applyBorder="1" applyAlignment="1" applyProtection="1">
      <alignment horizontal="left" vertical="center" wrapText="1"/>
      <protection locked="0"/>
    </xf>
    <xf numFmtId="0" fontId="118"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6" fillId="45" borderId="56" xfId="492" applyNumberFormat="1" applyFill="1" applyBorder="1" applyAlignment="1">
      <alignment horizontal="center" vertical="center" wrapText="1"/>
      <protection locked="0"/>
    </xf>
    <xf numFmtId="49" fontId="76" fillId="45" borderId="11" xfId="492" applyNumberFormat="1" applyFill="1" applyBorder="1" applyAlignment="1">
      <alignment horizontal="center" vertical="center" wrapText="1"/>
      <protection locked="0"/>
    </xf>
    <xf numFmtId="49" fontId="76"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4">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27"/>
      <c r="B2" s="2" t="s">
        <v>1</v>
      </c>
      <c r="C2" s="3"/>
      <c r="D2" s="147"/>
      <c r="E2" s="3"/>
      <c r="F2" s="3"/>
      <c r="G2" s="25"/>
    </row>
    <row r="3" spans="1:7">
      <c r="A3" s="327"/>
      <c r="B3" s="3" t="s">
        <v>2</v>
      </c>
      <c r="C3" s="2"/>
      <c r="D3" s="148"/>
      <c r="E3" s="3"/>
      <c r="F3" s="2"/>
      <c r="G3" s="25"/>
    </row>
    <row r="4" spans="1:7" ht="15">
      <c r="A4" s="327"/>
      <c r="B4" s="184" t="s">
        <v>3</v>
      </c>
      <c r="C4" s="185"/>
      <c r="D4" s="186"/>
      <c r="E4" s="3"/>
      <c r="F4" s="185"/>
      <c r="G4" s="25"/>
    </row>
    <row r="5" spans="1:7">
      <c r="A5" s="327"/>
      <c r="B5" s="190" t="s">
        <v>4</v>
      </c>
      <c r="C5" s="187"/>
      <c r="D5" s="188"/>
      <c r="E5" s="3"/>
      <c r="F5" s="187"/>
      <c r="G5" s="25"/>
    </row>
    <row r="6" spans="1:7">
      <c r="A6" s="327"/>
      <c r="B6" s="3"/>
      <c r="C6" s="3"/>
      <c r="D6" s="147"/>
      <c r="E6" s="3"/>
      <c r="F6" s="3"/>
      <c r="G6" s="25"/>
    </row>
    <row r="7" spans="1:7">
      <c r="A7" s="327"/>
      <c r="B7" s="3"/>
      <c r="C7" s="3"/>
      <c r="D7" s="147"/>
      <c r="E7" s="3"/>
      <c r="F7" s="3"/>
      <c r="G7" s="25"/>
    </row>
    <row r="8" spans="1:7">
      <c r="A8" s="327"/>
      <c r="B8" s="3"/>
      <c r="C8" s="3"/>
      <c r="D8" s="147"/>
      <c r="E8" s="3"/>
      <c r="F8" s="3"/>
      <c r="G8" s="25"/>
    </row>
    <row r="9" spans="1:7" ht="20.149999999999999" customHeight="1">
      <c r="A9" s="327"/>
      <c r="B9" s="330" t="s">
        <v>5</v>
      </c>
      <c r="C9" s="330"/>
      <c r="D9" s="330"/>
      <c r="E9" s="330"/>
      <c r="F9" s="330"/>
      <c r="G9" s="25"/>
    </row>
    <row r="10" spans="1:7" ht="27" customHeight="1">
      <c r="A10" s="327"/>
      <c r="B10" s="331" t="s">
        <v>6</v>
      </c>
      <c r="C10" s="331"/>
      <c r="D10" s="331"/>
      <c r="E10" s="331"/>
      <c r="F10" s="331"/>
      <c r="G10" s="25"/>
    </row>
    <row r="11" spans="1:7" ht="82.5" customHeight="1">
      <c r="A11" s="327"/>
      <c r="B11" s="332"/>
      <c r="C11" s="332"/>
      <c r="D11" s="332"/>
      <c r="E11" s="332"/>
      <c r="F11" s="332"/>
      <c r="G11" s="25"/>
    </row>
    <row r="12" spans="1:7">
      <c r="A12" s="327"/>
      <c r="B12" s="174" t="s">
        <v>7</v>
      </c>
      <c r="C12" s="175" t="s">
        <v>8</v>
      </c>
      <c r="D12" s="176" t="s">
        <v>9</v>
      </c>
      <c r="E12" s="175" t="s">
        <v>10</v>
      </c>
      <c r="F12" s="175" t="s">
        <v>11</v>
      </c>
      <c r="G12" s="25"/>
    </row>
    <row r="13" spans="1:7" ht="57.5">
      <c r="A13" s="327"/>
      <c r="B13" s="308">
        <v>1</v>
      </c>
      <c r="C13" s="227" t="s">
        <v>12</v>
      </c>
      <c r="D13" s="228">
        <v>44489</v>
      </c>
      <c r="E13" s="227" t="s">
        <v>12669</v>
      </c>
      <c r="F13" s="229" t="s">
        <v>12701</v>
      </c>
      <c r="G13" s="25"/>
    </row>
    <row r="14" spans="1:7" ht="57.5">
      <c r="A14" s="327"/>
      <c r="B14" s="226">
        <v>1.01</v>
      </c>
      <c r="C14" s="227" t="s">
        <v>12</v>
      </c>
      <c r="D14" s="228">
        <v>44523</v>
      </c>
      <c r="E14" s="227" t="s">
        <v>12670</v>
      </c>
      <c r="F14" s="229" t="s">
        <v>12701</v>
      </c>
      <c r="G14" s="25"/>
    </row>
    <row r="15" spans="1:7" ht="57.5">
      <c r="A15" s="327"/>
      <c r="B15" s="226">
        <v>1.02</v>
      </c>
      <c r="C15" s="227" t="s">
        <v>12</v>
      </c>
      <c r="D15" s="228">
        <v>44553</v>
      </c>
      <c r="E15" s="227" t="s">
        <v>12671</v>
      </c>
      <c r="F15" s="229" t="s">
        <v>12701</v>
      </c>
      <c r="G15" s="25"/>
    </row>
    <row r="16" spans="1:7" ht="92">
      <c r="A16" s="327"/>
      <c r="B16" s="226">
        <v>1.1000000000000001</v>
      </c>
      <c r="C16" s="227" t="s">
        <v>12</v>
      </c>
      <c r="D16" s="228">
        <v>44848</v>
      </c>
      <c r="E16" s="227" t="s">
        <v>12695</v>
      </c>
      <c r="F16" s="229" t="s">
        <v>12702</v>
      </c>
      <c r="G16" s="25"/>
    </row>
    <row r="17" spans="1:7" ht="57.5">
      <c r="A17" s="327"/>
      <c r="B17" s="226">
        <v>1.1100000000000001</v>
      </c>
      <c r="C17" s="227" t="s">
        <v>12</v>
      </c>
      <c r="D17" s="228">
        <v>44869</v>
      </c>
      <c r="E17" s="227" t="s">
        <v>12696</v>
      </c>
      <c r="F17" s="229" t="s">
        <v>12702</v>
      </c>
      <c r="G17" s="25"/>
    </row>
    <row r="18" spans="1:7" ht="57.5">
      <c r="A18" s="327"/>
      <c r="B18" s="226">
        <v>1.2</v>
      </c>
      <c r="C18" s="227" t="s">
        <v>12</v>
      </c>
      <c r="D18" s="228">
        <v>45058</v>
      </c>
      <c r="E18" s="227" t="s">
        <v>12749</v>
      </c>
      <c r="F18" s="229" t="s">
        <v>12703</v>
      </c>
      <c r="G18" s="25"/>
    </row>
    <row r="19" spans="1:7" ht="57.5">
      <c r="A19" s="327"/>
      <c r="B19" s="226">
        <v>1.3</v>
      </c>
      <c r="C19" s="227" t="s">
        <v>12</v>
      </c>
      <c r="D19" s="228">
        <v>45408</v>
      </c>
      <c r="E19" s="309" t="s">
        <v>19199</v>
      </c>
      <c r="F19" s="229" t="s">
        <v>12750</v>
      </c>
      <c r="G19" s="25"/>
    </row>
    <row r="20" spans="1:7" ht="14" thickBot="1">
      <c r="A20" s="328"/>
      <c r="B20" s="329" t="str">
        <f ca="1">OFFSET(L!$C$1,MATCH("General"&amp;"Cpy",L!$A:$A,0)-1,SL,,)</f>
        <v>© 2024 Responsible Minerals Initiative. All rights reserved.</v>
      </c>
      <c r="C20" s="329"/>
      <c r="D20" s="329"/>
      <c r="E20" s="329"/>
      <c r="F20" s="329"/>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33"/>
      <c r="B1" s="334"/>
      <c r="C1" s="334"/>
      <c r="D1" s="335"/>
    </row>
    <row r="2" spans="1:8" ht="15">
      <c r="A2" s="177"/>
      <c r="B2" s="178" t="str">
        <f ca="1">OFFSET(L!$C$1,MATCH("Definitions"&amp;ADDRESS(ROW(),COLUMN(),4),L!$A:$A,0)-1,SL,,)</f>
        <v>ITEM</v>
      </c>
      <c r="C2" s="178" t="str">
        <f ca="1">OFFSET(L!$C$1,MATCH("Definitions"&amp;ADDRESS(ROW(),COLUMN(),4),L!$A:$A,0)-1,SL,,)</f>
        <v>DEFINITION</v>
      </c>
      <c r="D2" s="337"/>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7"/>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7"/>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7"/>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7"/>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7"/>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7"/>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7"/>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7"/>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7"/>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7"/>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7"/>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7"/>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7"/>
      <c r="E21" s="180"/>
    </row>
    <row r="22" spans="1:5" ht="15">
      <c r="A22" s="177"/>
      <c r="B22" s="336" t="str">
        <f ca="1">OFFSET(L!$C$1,MATCH("General"&amp;"Cpy",L!$A:$A,0)-1,SL,,)</f>
        <v>© 2024 Responsible Minerals Initiative. All rights reserved.</v>
      </c>
      <c r="C22" s="336"/>
      <c r="D22" s="337"/>
      <c r="E22" s="180"/>
    </row>
    <row r="23" spans="1:5" ht="14" thickBot="1">
      <c r="A23" s="181"/>
      <c r="B23" s="182"/>
      <c r="C23" s="182"/>
      <c r="D23" s="338"/>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D83" sqref="D83:E83"/>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78"/>
      <c r="B1" s="379"/>
      <c r="C1" s="379"/>
      <c r="D1" s="379"/>
      <c r="E1" s="379"/>
      <c r="F1" s="379"/>
      <c r="G1" s="379"/>
      <c r="H1" s="379"/>
      <c r="I1" s="379"/>
      <c r="J1" s="379"/>
      <c r="K1" s="380"/>
      <c r="L1" s="103"/>
      <c r="P1" s="3"/>
      <c r="Q1" s="3"/>
      <c r="R1" s="3"/>
      <c r="S1" s="3"/>
      <c r="T1" s="3"/>
      <c r="U1" s="3"/>
      <c r="V1" s="3"/>
      <c r="W1" s="3"/>
      <c r="X1" s="3"/>
      <c r="Y1" s="3"/>
      <c r="Z1" s="3"/>
      <c r="AA1" s="3"/>
      <c r="AB1" s="3"/>
      <c r="AC1" s="3"/>
      <c r="AD1" s="3"/>
      <c r="AE1" s="3"/>
      <c r="AF1" s="3"/>
      <c r="AG1" s="3"/>
      <c r="AH1" s="3"/>
    </row>
    <row r="2" spans="1:34" ht="81.75" customHeight="1">
      <c r="A2" s="28"/>
      <c r="B2" s="304"/>
      <c r="C2" s="29"/>
      <c r="D2" s="381" t="str">
        <f ca="1">OFFSET(L!$C$1,MATCH("Declaration"&amp;ADDRESS(ROW(),COLUMN(),4),L!$A:$A,0)-1,SL,,)</f>
        <v>Extended Mineral Reporting Template (EMRT)</v>
      </c>
      <c r="E2" s="382"/>
      <c r="F2" s="382"/>
      <c r="G2" s="382"/>
      <c r="H2" s="382"/>
      <c r="I2" s="382"/>
      <c r="J2" s="38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9"/>
      <c r="F3" s="400"/>
      <c r="G3" s="400"/>
      <c r="H3" s="400"/>
      <c r="I3" s="400"/>
      <c r="J3" s="191" t="s">
        <v>12830</v>
      </c>
      <c r="K3" s="30"/>
      <c r="L3" s="103"/>
      <c r="P3" s="39">
        <f>MATCH($D$3,LN,0)</f>
        <v>1</v>
      </c>
    </row>
    <row r="4" spans="1:34" ht="15">
      <c r="A4" s="28"/>
      <c r="B4" s="387" t="str">
        <f ca="1">OFFSET(L!$C$1,MATCH("Declaration"&amp;ADDRESS(ROW(),COLUMN(),4),L!$A:$A,0)-1,SL,,)</f>
        <v>The purpose of this document is to collect sourcing information on cobalt or natural mica.</v>
      </c>
      <c r="C4" s="387"/>
      <c r="D4" s="387"/>
      <c r="E4" s="387"/>
      <c r="F4" s="387"/>
      <c r="G4" s="387"/>
      <c r="H4" s="387"/>
      <c r="I4" s="391" t="str">
        <f ca="1">OFFSET(L!$C$1,MATCH("Declaration"&amp;ADDRESS(ROW(),COLUMN(),4),L!$A:$A,0)-1,SL,,)</f>
        <v>Link to Terms &amp; Conditions</v>
      </c>
      <c r="J4" s="39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7" t="str">
        <f ca="1">OFFSET(L!$C$1,MATCH("Declaration"&amp;ADDRESS(ROW(),COLUMN(),4),L!$A:$A,0)-1,SL,,)</f>
        <v>Mandatory fields are noted with an asterisk (*).  Consult the instructions tab for guidance on how to answer each question.</v>
      </c>
      <c r="C6" s="387"/>
      <c r="D6" s="387"/>
      <c r="E6" s="387"/>
      <c r="F6" s="387"/>
      <c r="G6" s="387"/>
      <c r="H6" s="387"/>
      <c r="I6" s="387"/>
      <c r="J6" s="387"/>
      <c r="K6" s="30"/>
      <c r="L6" s="105" t="s">
        <v>18</v>
      </c>
      <c r="P6" s="3"/>
      <c r="Q6" s="3"/>
      <c r="R6" s="3"/>
      <c r="S6" s="3"/>
      <c r="T6" s="3"/>
      <c r="U6" s="3"/>
      <c r="V6" s="3"/>
      <c r="W6" s="3"/>
      <c r="X6" s="3"/>
      <c r="Y6" s="3"/>
      <c r="Z6" s="3"/>
      <c r="AA6" s="3"/>
      <c r="AB6" s="3"/>
      <c r="AC6" s="3"/>
      <c r="AD6" s="3"/>
      <c r="AE6" s="3"/>
      <c r="AF6" s="3"/>
      <c r="AG6" s="3"/>
      <c r="AH6" s="3"/>
    </row>
    <row r="7" spans="1:34" ht="15">
      <c r="A7" s="28"/>
      <c r="B7" s="392" t="str">
        <f ca="1">OFFSET(L!$C$1,MATCH("Declaration"&amp;ADDRESS(ROW(),COLUMN(),4),L!$A:$A,0)-1,SL,,)</f>
        <v>Company Information</v>
      </c>
      <c r="C7" s="392"/>
      <c r="D7" s="392"/>
      <c r="E7" s="392"/>
      <c r="F7" s="392"/>
      <c r="G7" s="392"/>
      <c r="H7" s="392"/>
      <c r="I7" s="392"/>
      <c r="J7" s="39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84" t="s">
        <v>19202</v>
      </c>
      <c r="E8" s="385"/>
      <c r="F8" s="385"/>
      <c r="G8" s="385"/>
      <c r="H8" s="385"/>
      <c r="I8" s="385"/>
      <c r="J8" s="38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93" t="str">
        <f ca="1">OFFSET(L!$C$1,MATCH("Declaration"&amp;ADDRESS(ROW(),COLUMN(),4)&amp;LEFT($D$9,1),L!$A:$A,0)-1,SL,,)</f>
        <v>Description of Scope:</v>
      </c>
      <c r="C10" s="113"/>
      <c r="D10" s="388"/>
      <c r="E10" s="389"/>
      <c r="F10" s="389"/>
      <c r="G10" s="389"/>
      <c r="H10" s="389"/>
      <c r="I10" s="389"/>
      <c r="J10" s="390"/>
      <c r="K10" s="30"/>
      <c r="L10" s="105"/>
      <c r="Q10" s="3"/>
      <c r="R10" s="3"/>
      <c r="S10" s="3"/>
      <c r="T10" s="3"/>
      <c r="U10" s="3"/>
      <c r="V10" s="3"/>
      <c r="W10" s="3"/>
      <c r="X10" s="3"/>
      <c r="Y10" s="3"/>
      <c r="Z10" s="3"/>
      <c r="AA10" s="3"/>
      <c r="AB10" s="3"/>
      <c r="AC10" s="3"/>
      <c r="AD10" s="3"/>
      <c r="AE10" s="3"/>
      <c r="AF10" s="3"/>
      <c r="AG10" s="3"/>
      <c r="AH10" s="3"/>
    </row>
    <row r="11" spans="1:34" ht="15">
      <c r="A11" s="32"/>
      <c r="B11" s="394"/>
      <c r="C11" s="113"/>
      <c r="D11" s="395" t="str">
        <f ca="1">IF(D9=Q9,OFFSET(L!$C$1,MATCH("Declaration"&amp;ADDRESS(ROW(),COLUMN(),4),L!$A:$A,0)-1,SL,,),"")</f>
        <v/>
      </c>
      <c r="E11" s="396"/>
      <c r="F11" s="396"/>
      <c r="G11" s="396"/>
      <c r="H11" s="396"/>
      <c r="I11" s="396"/>
      <c r="J11" s="39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64"/>
      <c r="E12" s="365"/>
      <c r="F12" s="365"/>
      <c r="G12" s="365"/>
      <c r="H12" s="365"/>
      <c r="I12" s="365"/>
      <c r="J12" s="36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4"/>
      <c r="E13" s="365"/>
      <c r="F13" s="365"/>
      <c r="G13" s="365"/>
      <c r="H13" s="365"/>
      <c r="I13" s="365"/>
      <c r="J13" s="36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4"/>
      <c r="E14" s="365"/>
      <c r="F14" s="365"/>
      <c r="G14" s="365"/>
      <c r="H14" s="365"/>
      <c r="I14" s="365"/>
      <c r="J14" s="36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64" t="s">
        <v>19203</v>
      </c>
      <c r="E15" s="365"/>
      <c r="F15" s="365"/>
      <c r="G15" s="365"/>
      <c r="H15" s="365"/>
      <c r="I15" s="365"/>
      <c r="J15" s="366"/>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3" t="s">
        <v>19204</v>
      </c>
      <c r="E16" s="404"/>
      <c r="F16" s="404"/>
      <c r="G16" s="404"/>
      <c r="H16" s="404"/>
      <c r="I16" s="404"/>
      <c r="J16" s="405"/>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64" t="s">
        <v>19205</v>
      </c>
      <c r="E17" s="365"/>
      <c r="F17" s="365"/>
      <c r="G17" s="365"/>
      <c r="H17" s="365"/>
      <c r="I17" s="365"/>
      <c r="J17" s="36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64" t="s">
        <v>19206</v>
      </c>
      <c r="E18" s="365"/>
      <c r="F18" s="365"/>
      <c r="G18" s="365"/>
      <c r="H18" s="365"/>
      <c r="I18" s="365"/>
      <c r="J18" s="36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64"/>
      <c r="E19" s="365"/>
      <c r="F19" s="365"/>
      <c r="G19" s="365"/>
      <c r="H19" s="365"/>
      <c r="I19" s="365"/>
      <c r="J19" s="36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3" t="s">
        <v>19207</v>
      </c>
      <c r="E20" s="404"/>
      <c r="F20" s="404"/>
      <c r="G20" s="404"/>
      <c r="H20" s="404"/>
      <c r="I20" s="404"/>
      <c r="J20" s="405"/>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64" t="s">
        <v>19205</v>
      </c>
      <c r="E21" s="365"/>
      <c r="F21" s="365"/>
      <c r="G21" s="365"/>
      <c r="H21" s="365"/>
      <c r="I21" s="365"/>
      <c r="J21" s="36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3">
        <v>45516</v>
      </c>
      <c r="E22" s="37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98" t="str">
        <f ca="1">OFFSET(L!$C$1,MATCH("Declaration"&amp;ADDRESS(ROW(),COLUMN(),4),L!$A:$A,0)-1,SL,,)</f>
        <v>Answer the following questions 1 - 7 based on the declaration scope indicated above</v>
      </c>
      <c r="C24" s="398"/>
      <c r="D24" s="398"/>
      <c r="E24" s="398"/>
      <c r="F24" s="398"/>
      <c r="G24" s="398"/>
      <c r="H24" s="398"/>
      <c r="I24" s="398"/>
      <c r="J24" s="39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1" t="str">
        <f ca="1">OFFSET(L!$C$1,MATCH("Declaration"&amp;ADDRESS(ROW(),COLUMN(),4),L!$A:$A,0)-1,SL,,)</f>
        <v>Answer</v>
      </c>
      <c r="E25" s="361"/>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9" t="s">
        <v>25</v>
      </c>
      <c r="E26" s="340"/>
      <c r="F26" s="9"/>
      <c r="G26" s="341"/>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9" t="s">
        <v>22</v>
      </c>
      <c r="E27" s="340"/>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8" t="s">
        <v>22</v>
      </c>
      <c r="E28" s="349"/>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1" t="s">
        <v>22</v>
      </c>
      <c r="E29" s="372"/>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3" t="str">
        <f ca="1">D25</f>
        <v>Answer</v>
      </c>
      <c r="E31" s="363"/>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9" t="s">
        <v>25</v>
      </c>
      <c r="E32" s="340"/>
      <c r="F32" s="9"/>
      <c r="G32" s="341"/>
      <c r="H32" s="342"/>
      <c r="I32" s="342"/>
      <c r="J32" s="343"/>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9"/>
      <c r="E33" s="340"/>
      <c r="F33" s="9"/>
      <c r="G33" s="341"/>
      <c r="H33" s="342"/>
      <c r="I33" s="342"/>
      <c r="J33" s="34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8" t="s">
        <v>22</v>
      </c>
      <c r="E34" s="349"/>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8" t="s">
        <v>22</v>
      </c>
      <c r="E35" s="349"/>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3" t="str">
        <f ca="1">D25</f>
        <v>Answer</v>
      </c>
      <c r="E37" s="363"/>
      <c r="F37" s="15"/>
      <c r="G37" s="38" t="str">
        <f ca="1">G25</f>
        <v>Comments</v>
      </c>
      <c r="H37" s="377"/>
      <c r="I37" s="377"/>
      <c r="J37" s="377"/>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9" t="s">
        <v>28</v>
      </c>
      <c r="E38" s="340"/>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9"/>
      <c r="E39" s="340"/>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9"/>
      <c r="E40" s="340"/>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9"/>
      <c r="E41" s="340"/>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63" t="str">
        <f ca="1">D25</f>
        <v>Answer</v>
      </c>
      <c r="E43" s="363"/>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9" t="s">
        <v>26</v>
      </c>
      <c r="E44" s="340"/>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9"/>
      <c r="E45" s="340"/>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8"/>
      <c r="E46" s="349"/>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8"/>
      <c r="E47" s="349"/>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3" t="str">
        <f ca="1">D25</f>
        <v>Answer</v>
      </c>
      <c r="E49" s="363"/>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401" t="s">
        <v>30</v>
      </c>
      <c r="E50" s="402"/>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401"/>
      <c r="E51" s="402"/>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75"/>
      <c r="E52" s="376"/>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75"/>
      <c r="E53" s="376"/>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3" t="str">
        <f ca="1">D25</f>
        <v>Answer</v>
      </c>
      <c r="E55" s="363"/>
      <c r="F55" s="15"/>
      <c r="G55" s="38" t="str">
        <f ca="1">G25</f>
        <v>Comments</v>
      </c>
      <c r="H55" s="362"/>
      <c r="I55" s="362"/>
      <c r="J55" s="362"/>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59" t="s">
        <v>26</v>
      </c>
      <c r="E56" s="360"/>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9"/>
      <c r="E57" s="340"/>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8"/>
      <c r="E58" s="349"/>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8"/>
      <c r="E59" s="349"/>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3" t="str">
        <f ca="1">D25</f>
        <v>Answer</v>
      </c>
      <c r="E61" s="363"/>
      <c r="F61" s="15"/>
      <c r="G61" s="38" t="str">
        <f ca="1">G25</f>
        <v>Comments</v>
      </c>
      <c r="H61" s="362" t="str">
        <f>IF(Q69="(*)","Click here to enter smelter names","")</f>
        <v/>
      </c>
      <c r="I61" s="362"/>
      <c r="J61" s="362"/>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9" t="s">
        <v>25</v>
      </c>
      <c r="E62" s="340"/>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9"/>
      <c r="E63" s="340"/>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8"/>
      <c r="E64" s="349"/>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8"/>
      <c r="E65" s="349"/>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0" t="str">
        <f ca="1">OFFSET(L!$C$1,MATCH("Declaration"&amp;ADDRESS(ROW(),COLUMN(),4),L!$A:$A,0)-1,SL,,)</f>
        <v>Answer the Following Questions at a Company Level</v>
      </c>
      <c r="C67" s="350"/>
      <c r="D67" s="350"/>
      <c r="E67" s="350"/>
      <c r="F67" s="350"/>
      <c r="G67" s="350"/>
      <c r="H67" s="350"/>
      <c r="I67" s="350"/>
      <c r="J67" s="350"/>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1" t="str">
        <f ca="1">D25</f>
        <v>Answer</v>
      </c>
      <c r="E68" s="361"/>
      <c r="F68" s="47"/>
      <c r="G68" s="361" t="str">
        <f ca="1">G25</f>
        <v>Comments</v>
      </c>
      <c r="H68" s="361" t="e">
        <f>HLOOKUP(SL,LT,$O68,0)</f>
        <v>#NAME?</v>
      </c>
      <c r="I68" s="361"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9" t="s">
        <v>25</v>
      </c>
      <c r="E69" s="340"/>
      <c r="F69" s="51"/>
      <c r="G69" s="341"/>
      <c r="H69" s="342"/>
      <c r="I69" s="342"/>
      <c r="J69" s="343"/>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3"/>
      <c r="H70" s="353"/>
      <c r="I70" s="353"/>
      <c r="J70" s="353"/>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9" t="s">
        <v>25</v>
      </c>
      <c r="E71" s="340"/>
      <c r="F71" s="51"/>
      <c r="G71" s="355" t="s">
        <v>19208</v>
      </c>
      <c r="H71" s="356"/>
      <c r="I71" s="356"/>
      <c r="J71" s="357"/>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47"/>
      <c r="E73" s="347"/>
      <c r="F73" s="236"/>
      <c r="G73" s="358"/>
      <c r="H73" s="358"/>
      <c r="I73" s="358"/>
      <c r="J73" s="358"/>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9" t="s">
        <v>22</v>
      </c>
      <c r="E74" s="340"/>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9" t="s">
        <v>22</v>
      </c>
      <c r="E75" s="340"/>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9" t="s">
        <v>25</v>
      </c>
      <c r="E77" s="340"/>
      <c r="F77" s="51"/>
      <c r="G77" s="341"/>
      <c r="H77" s="342"/>
      <c r="I77" s="342"/>
      <c r="J77" s="34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1" t="s">
        <v>34</v>
      </c>
      <c r="E79" s="352"/>
      <c r="F79" s="51"/>
      <c r="G79" s="341"/>
      <c r="H79" s="342"/>
      <c r="I79" s="342"/>
      <c r="J79" s="34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53"/>
      <c r="H80" s="353"/>
      <c r="I80" s="353"/>
      <c r="J80" s="353"/>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9" t="s">
        <v>25</v>
      </c>
      <c r="E81" s="340"/>
      <c r="F81" s="51"/>
      <c r="G81" s="341"/>
      <c r="H81" s="342"/>
      <c r="I81" s="342"/>
      <c r="J81" s="34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54"/>
      <c r="H82" s="354"/>
      <c r="I82" s="354"/>
      <c r="J82" s="354"/>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9" t="s">
        <v>25</v>
      </c>
      <c r="E83" s="340"/>
      <c r="F83" s="51"/>
      <c r="G83" s="341"/>
      <c r="H83" s="342"/>
      <c r="I83" s="342"/>
      <c r="J83" s="34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46" t="str">
        <f>IF(OR($D$8="",$I$3=""),"","Click here to check required fields completion")</f>
        <v/>
      </c>
      <c r="C84" s="346"/>
      <c r="D84" s="346"/>
      <c r="E84" s="346"/>
      <c r="F84" s="346"/>
      <c r="G84" s="346"/>
      <c r="H84" s="346"/>
      <c r="I84" s="346"/>
      <c r="J84" s="346"/>
      <c r="K84" s="30"/>
      <c r="L84" s="103"/>
      <c r="P84" s="3"/>
      <c r="Q84" s="3"/>
      <c r="R84" s="3"/>
      <c r="S84" s="3"/>
      <c r="T84" s="3"/>
      <c r="U84" s="3"/>
      <c r="V84" s="3"/>
      <c r="W84" s="3"/>
      <c r="X84" s="3"/>
      <c r="Y84" s="3">
        <v>86</v>
      </c>
      <c r="Z84" s="3"/>
      <c r="AA84" s="3"/>
      <c r="AB84" s="3"/>
      <c r="AC84" s="3"/>
      <c r="AD84" s="3"/>
      <c r="AE84" s="3"/>
      <c r="AF84" s="3"/>
      <c r="AG84" s="3"/>
      <c r="AH84" s="3"/>
    </row>
    <row r="85" spans="1:34" ht="15.5" thickBot="1">
      <c r="A85" s="344" t="str">
        <f ca="1">OFFSET(L!$C$1,MATCH("General"&amp;"Cpy",L!$A:$A,0)-1,SL,,)</f>
        <v>© 2024 Responsible Minerals Initiative. All rights reserved.</v>
      </c>
      <c r="B85" s="345"/>
      <c r="C85" s="345"/>
      <c r="D85" s="345"/>
      <c r="E85" s="345"/>
      <c r="F85" s="345"/>
      <c r="G85" s="345"/>
      <c r="H85" s="345"/>
      <c r="I85" s="345"/>
      <c r="J85" s="34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16">
    <cfRule type="expression" dxfId="103" priority="143" stopIfTrue="1">
      <formula>IF($D$16="",TRUE)</formula>
    </cfRule>
  </conditionalFormatting>
  <conditionalFormatting sqref="D20">
    <cfRule type="expression" dxfId="102" priority="24" stopIfTrue="1">
      <formula>IF($D$20="",TRUE)</formula>
    </cfRule>
  </conditionalFormatting>
  <conditionalFormatting sqref="D28 D40 D46 D52 D58 D64">
    <cfRule type="expression" dxfId="101" priority="22">
      <formula>IF($D$28="No",TRUE)</formula>
    </cfRule>
  </conditionalFormatting>
  <conditionalFormatting sqref="D29 D41 D47 D53 D59 D65">
    <cfRule type="expression" dxfId="100" priority="21">
      <formula>IF($D$29="No",TRUE)</formula>
    </cfRule>
  </conditionalFormatting>
  <conditionalFormatting sqref="D34">
    <cfRule type="expression" dxfId="99" priority="13">
      <formula>IF($D$28="No",TRUE)</formula>
    </cfRule>
  </conditionalFormatting>
  <conditionalFormatting sqref="D35">
    <cfRule type="expression" dxfId="98" priority="12">
      <formula>IF($D$29="No",TRUE)</formula>
    </cfRule>
  </conditionalFormatting>
  <conditionalFormatting sqref="D40 D46 D52 D58 D64">
    <cfRule type="expression" dxfId="97" priority="151" stopIfTrue="1">
      <formula>IF(AND(OR($D$28="Yes",$D$28=""),D40=""),1,0)</formula>
    </cfRule>
  </conditionalFormatting>
  <conditionalFormatting sqref="D22:E22">
    <cfRule type="expression" dxfId="96" priority="148" stopIfTrue="1">
      <formula>IF($D$22="",TRUE)</formula>
    </cfRule>
  </conditionalFormatting>
  <conditionalFormatting sqref="D26:E26">
    <cfRule type="expression" dxfId="95" priority="126" stopIfTrue="1">
      <formula>IF($D$26="",TRUE)</formula>
    </cfRule>
  </conditionalFormatting>
  <conditionalFormatting sqref="D27:E27">
    <cfRule type="expression" dxfId="94" priority="133" stopIfTrue="1">
      <formula>IF($D$27="",TRUE)</formula>
    </cfRule>
  </conditionalFormatting>
  <conditionalFormatting sqref="D32:E32">
    <cfRule type="expression" dxfId="93" priority="11" stopIfTrue="1">
      <formula>IF(AND(OR($D$26="Yes",$D$26=""),$D$32=""),1,0)</formula>
    </cfRule>
    <cfRule type="expression" dxfId="92" priority="15" stopIfTrue="1">
      <formula>IF($P$26="",TRUE)</formula>
    </cfRule>
  </conditionalFormatting>
  <conditionalFormatting sqref="D33:E33">
    <cfRule type="expression" dxfId="91" priority="14" stopIfTrue="1">
      <formula>IF(AND(OR($D$27="Yes",$D$27=""),$D$33=""),1,0)</formula>
    </cfRule>
    <cfRule type="expression" dxfId="90" priority="16" stopIfTrue="1">
      <formula>IF($P$27="",TRUE)</formula>
    </cfRule>
  </conditionalFormatting>
  <conditionalFormatting sqref="D38:E38 D44:E44 D50:E50 D56:E56 D62:E62">
    <cfRule type="expression" dxfId="89" priority="42" stopIfTrue="1">
      <formula>IF(AND(OR($D$26="No",$D$26="Unknown",$D$26="Not applicable for this declaration",$D$32="No",$D$32="Unknown"),D38=""),1,0)</formula>
    </cfRule>
    <cfRule type="expression" dxfId="88" priority="43" stopIfTrue="1">
      <formula>IF(AND(OR($D$26="Yes",$D$26=""),D38=""),1,0)</formula>
    </cfRule>
  </conditionalFormatting>
  <conditionalFormatting sqref="D39:E39 D45:E45 D51:E51 D57:E57 D63:E63">
    <cfRule type="expression" dxfId="87" priority="149" stopIfTrue="1">
      <formula>IF(AND(OR($D$27="No",$D$27="Unknown",$D$27="Not applicable for this declaration",$D$33="No",$D$33="Unknown"),D39=""),1,0)</formula>
    </cfRule>
    <cfRule type="expression" dxfId="86" priority="150" stopIfTrue="1">
      <formula>IF(AND(OR($D$27="Yes",$D$27=""),D39=""),1,0)</formula>
    </cfRule>
  </conditionalFormatting>
  <conditionalFormatting sqref="D40:E40 D46:E46 D52:E52 D58:E58 D64:E64">
    <cfRule type="expression" dxfId="85" priority="38" stopIfTrue="1">
      <formula>$P$28=""</formula>
    </cfRule>
  </conditionalFormatting>
  <conditionalFormatting sqref="D41:E41 D47:E47 D53:E53 D59:E59 D65:E65">
    <cfRule type="expression" dxfId="84" priority="153" stopIfTrue="1">
      <formula>$P$29=""</formula>
    </cfRule>
    <cfRule type="expression" dxfId="83" priority="154" stopIfTrue="1">
      <formula>IF(AND(OR($D$29="Yes",$D$29=""),D41=""),1,0)</formula>
    </cfRule>
  </conditionalFormatting>
  <conditionalFormatting sqref="D69:E69 D71:E71 D77:E77 D79:E79 D81:E81 D83:E83">
    <cfRule type="expression" dxfId="82" priority="5" stopIfTrue="1">
      <formula>AND(OR($D$26="No",$D$26="Unknown",$D$26="Not applicable for this declaration"),OR($D$27="No",$D$27="Unknown",$D$27="Not applicable for this declaration"))</formula>
    </cfRule>
    <cfRule type="expression" dxfId="81" priority="6" stopIfTrue="1">
      <formula>IF(D69="",TRUE)</formula>
    </cfRule>
  </conditionalFormatting>
  <conditionalFormatting sqref="D74:E74">
    <cfRule type="expression" dxfId="80" priority="4" stopIfTrue="1">
      <formula>IF(AND(OR($D$26="No",$D$26="Unknown",$D$26="Not applicable for this declaration",$D$32="No",$D$32="Unknown"),D74=""),1,0)</formula>
    </cfRule>
    <cfRule type="expression" dxfId="79" priority="8" stopIfTrue="1">
      <formula>IF(AND(OR($D$26="Yes",$D$26=""),D74=""),1,0)</formula>
    </cfRule>
  </conditionalFormatting>
  <conditionalFormatting sqref="D75:E75">
    <cfRule type="expression" dxfId="78" priority="3" stopIfTrue="1">
      <formula>IF(AND(OR($D$27="No",$D$27="Unknown",$D$27="Not applicable for this declaration",$D$33="No",$D$33="Unknown"),D75=""),1,0)</formula>
    </cfRule>
    <cfRule type="expression" dxfId="77" priority="10" stopIfTrue="1">
      <formula>IF(AND(OR($D$27="Yes",$D$27=""),D75=""),1,0)</formula>
    </cfRule>
  </conditionalFormatting>
  <conditionalFormatting sqref="D9:G9">
    <cfRule type="expression" dxfId="76" priority="141" stopIfTrue="1">
      <formula>IF($D$9="",TRUE)</formula>
    </cfRule>
  </conditionalFormatting>
  <conditionalFormatting sqref="D10:J10">
    <cfRule type="expression" dxfId="75" priority="45" stopIfTrue="1">
      <formula>IF($D$9=$Q$9,TRUE)</formula>
    </cfRule>
    <cfRule type="expression" dxfId="74" priority="155" stopIfTrue="1">
      <formula>IF(AND($D$10="",$D$9=$R$9),TRUE)</formula>
    </cfRule>
  </conditionalFormatting>
  <conditionalFormatting sqref="D15:J15">
    <cfRule type="expression" dxfId="73" priority="142" stopIfTrue="1">
      <formula>IF($D$15="",TRUE)</formula>
    </cfRule>
  </conditionalFormatting>
  <conditionalFormatting sqref="D17:J17">
    <cfRule type="expression" dxfId="72" priority="144" stopIfTrue="1">
      <formula>IF($D$17="",TRUE)</formula>
    </cfRule>
  </conditionalFormatting>
  <conditionalFormatting sqref="D18:J18">
    <cfRule type="expression" dxfId="71" priority="145" stopIfTrue="1">
      <formula>IF($D$18="",TRUE)</formula>
    </cfRule>
  </conditionalFormatting>
  <conditionalFormatting sqref="G79:J79">
    <cfRule type="expression" dxfId="70" priority="36" stopIfTrue="1">
      <formula>IF(AND($D$79="Yes, using other format (describe)",$G$79=""),TRUE)</formula>
    </cfRule>
  </conditionalFormatting>
  <conditionalFormatting sqref="G81:J81">
    <cfRule type="expression" dxfId="69" priority="17">
      <formula>IF(AND($D$81="Yes, using other format (describe)",$G$81=""),TRUE)</formula>
    </cfRule>
  </conditionalFormatting>
  <conditionalFormatting sqref="D8:J8">
    <cfRule type="expression" dxfId="68" priority="2" stopIfTrue="1">
      <formula>IF($D$8="",TRUE)</formula>
    </cfRule>
  </conditionalFormatting>
  <conditionalFormatting sqref="G71:J71">
    <cfRule type="expression" dxfId="67" priority="1" stopIfTrue="1">
      <formula>IF(AND($D$77="Yes",$G$77=""),TRUE)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abSelected="1" zoomScaleNormal="100" workbookViewId="0">
      <selection activeCell="A50" sqref="A50:XFD50"/>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406" t="s">
        <v>42</v>
      </c>
      <c r="K2" s="407"/>
      <c r="L2" s="407"/>
      <c r="M2" s="407"/>
      <c r="N2" s="407"/>
      <c r="O2" s="407"/>
      <c r="P2" s="163"/>
      <c r="Q2" s="164"/>
      <c r="R2" s="165"/>
      <c r="S2" s="165"/>
      <c r="T2" s="165"/>
      <c r="AH2" s="131" t="s">
        <v>25</v>
      </c>
    </row>
    <row r="3" spans="1:34" s="17" customFormat="1" ht="249.65" customHeight="1">
      <c r="A3" s="204"/>
      <c r="B3" s="40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8"/>
      <c r="D3" s="408"/>
      <c r="E3" s="408"/>
      <c r="F3" s="166"/>
      <c r="G3" s="409" t="str">
        <f ca="1">OFFSET(L!$C$1,MATCH("General"&amp;"Cpy",L!$A:$A,0)-1,SL,,)</f>
        <v>© 2024 Responsible Minerals Initiative. All rights reserved.</v>
      </c>
      <c r="H3" s="409"/>
      <c r="I3" s="410"/>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7">
      <c r="A5" s="316" t="s">
        <v>191</v>
      </c>
      <c r="B5" s="317" t="s">
        <v>43</v>
      </c>
      <c r="C5" s="318" t="s">
        <v>190</v>
      </c>
      <c r="D5" s="317"/>
      <c r="E5" s="317" t="s">
        <v>19209</v>
      </c>
      <c r="F5" s="317" t="s">
        <v>191</v>
      </c>
      <c r="G5" s="317" t="s">
        <v>12</v>
      </c>
      <c r="H5" s="319"/>
      <c r="I5" s="320" t="s">
        <v>192</v>
      </c>
      <c r="J5" s="320" t="s">
        <v>193</v>
      </c>
      <c r="K5" s="151"/>
      <c r="L5" s="151"/>
      <c r="M5" s="151"/>
      <c r="N5" s="151"/>
      <c r="O5" s="151"/>
      <c r="P5" s="211"/>
      <c r="Q5" s="152"/>
      <c r="R5" s="150" t="str">
        <f ca="1">IF(ISERROR($V5),"",OFFSET('Smelter Look-up'!$C$4,$V5-4,0)&amp;"")</f>
        <v>Lanzhou Jinchuan Advanced Materials Technology Co., Ltd.</v>
      </c>
      <c r="S5" s="156" t="str">
        <f t="shared" ref="S5:S62" ca="1" si="0">IF(B5="","",IF(ISERROR(MATCH($E5,CL,0)),"Unknown",INDIRECT("'C'!$A$"&amp;MATCH($E5,CL,0)+1)))</f>
        <v>CN</v>
      </c>
      <c r="T5" s="156" t="str">
        <f ca="1">IF(B5="","",IF(ISERROR(MATCH($J5,SorP!$B$1:$B$6226,0)),"",INDIRECT("'SorP'!$A$"&amp;MATCH($S5&amp;$J5,SorP!C:C,0))))</f>
        <v>CN-GS</v>
      </c>
      <c r="U5" s="169"/>
      <c r="V5" s="170">
        <f>IF(C5="",NA(),MATCH($B5&amp;$C5,'Smelter Look-up'!$J:$J,0))</f>
        <v>74</v>
      </c>
      <c r="X5" s="171">
        <f t="shared" ref="X5:X61" si="1">IF(AND(C5="Smelter not listed",OR(LEN(D5)=0,LEN(E5)=0)),1,0)</f>
        <v>0</v>
      </c>
      <c r="AB5" s="171" t="str">
        <f t="shared" ref="AB5:AB61" si="2">B5&amp;C5</f>
        <v>CobaltLanzhou Jinchuan Advanced Materials Technology Co., Ltd.</v>
      </c>
    </row>
    <row r="6" spans="1:34" s="171" customFormat="1" ht="20">
      <c r="A6" s="323" t="s">
        <v>108</v>
      </c>
      <c r="B6" s="150" t="s">
        <v>43</v>
      </c>
      <c r="C6" s="325" t="s">
        <v>106</v>
      </c>
      <c r="D6" s="150"/>
      <c r="E6" s="150" t="s">
        <v>19210</v>
      </c>
      <c r="F6" s="150" t="s">
        <v>108</v>
      </c>
      <c r="G6" s="150" t="s">
        <v>12</v>
      </c>
      <c r="H6" s="208"/>
      <c r="I6" s="209" t="s">
        <v>109</v>
      </c>
      <c r="J6" s="209" t="s">
        <v>110</v>
      </c>
      <c r="K6" s="151"/>
      <c r="L6" s="151"/>
      <c r="M6" s="151"/>
      <c r="N6" s="151"/>
      <c r="O6" s="151"/>
      <c r="P6" s="211"/>
      <c r="Q6" s="152"/>
      <c r="R6" s="150" t="str">
        <f ca="1">IF(ISERROR($V6),"",OFFSET('Smelter Look-up'!$C$4,$V6-4,0)&amp;"")</f>
        <v>Umicore Finland Oy</v>
      </c>
      <c r="S6" s="156" t="str">
        <f t="shared" ca="1" si="0"/>
        <v>FI</v>
      </c>
      <c r="T6" s="156" t="str">
        <f ca="1">IF(B6="","",IF(ISERROR(MATCH($J6,SorP!$B$1:$B$6226,0)),"",INDIRECT("'SorP'!$A$"&amp;MATCH($S6&amp;$J6,SorP!C:C,0))))</f>
        <v>FI-07</v>
      </c>
      <c r="U6" s="169"/>
      <c r="V6" s="170">
        <f>IF(C6="",NA(),MATCH($B6&amp;$C6,'Smelter Look-up'!$J:$J,0))</f>
        <v>138</v>
      </c>
      <c r="X6" s="171">
        <f t="shared" si="1"/>
        <v>0</v>
      </c>
      <c r="AB6" s="171" t="str">
        <f t="shared" si="2"/>
        <v>CobaltUmicore Finland Oy</v>
      </c>
    </row>
    <row r="7" spans="1:34" s="171" customFormat="1" ht="20">
      <c r="A7" s="200" t="s">
        <v>291</v>
      </c>
      <c r="B7" s="150" t="s">
        <v>43</v>
      </c>
      <c r="C7" s="153" t="s">
        <v>289</v>
      </c>
      <c r="D7" s="150"/>
      <c r="E7" s="150" t="s">
        <v>19211</v>
      </c>
      <c r="F7" s="150" t="s">
        <v>291</v>
      </c>
      <c r="G7" s="150" t="s">
        <v>12</v>
      </c>
      <c r="H7" s="208"/>
      <c r="I7" s="209" t="s">
        <v>292</v>
      </c>
      <c r="J7" s="209" t="s">
        <v>293</v>
      </c>
      <c r="K7" s="151"/>
      <c r="L7" s="151"/>
      <c r="M7" s="151"/>
      <c r="N7" s="151"/>
      <c r="O7" s="151"/>
      <c r="P7" s="211"/>
      <c r="Q7" s="152"/>
      <c r="R7" s="150" t="str">
        <f ca="1">IF(ISERROR($V7),"",OFFSET('Smelter Look-up'!$C$4,$V7-4,0)&amp;"")</f>
        <v>Umicore Olen</v>
      </c>
      <c r="S7" s="156" t="str">
        <f t="shared" ca="1" si="0"/>
        <v>BE</v>
      </c>
      <c r="T7" s="156" t="str">
        <f ca="1">IF(B7="","",IF(ISERROR(MATCH($J7,SorP!$B$1:$B$6226,0)),"",INDIRECT("'SorP'!$A$"&amp;MATCH($S7&amp;$J7,SorP!C:C,0))))</f>
        <v>BE-VAN</v>
      </c>
      <c r="U7" s="169"/>
      <c r="V7" s="170">
        <f>IF(C7="",NA(),MATCH($B7&amp;$C7,'Smelter Look-up'!$J:$J,0))</f>
        <v>139</v>
      </c>
      <c r="X7" s="171">
        <f t="shared" si="1"/>
        <v>0</v>
      </c>
      <c r="AB7" s="171" t="str">
        <f t="shared" si="2"/>
        <v>CobaltUmicore Olen</v>
      </c>
    </row>
    <row r="8" spans="1:34" s="171" customFormat="1" ht="20">
      <c r="A8" s="200" t="s">
        <v>263</v>
      </c>
      <c r="B8" s="150" t="s">
        <v>43</v>
      </c>
      <c r="C8" s="153" t="s">
        <v>262</v>
      </c>
      <c r="D8" s="150"/>
      <c r="E8" s="150" t="s">
        <v>19212</v>
      </c>
      <c r="F8" s="150" t="s">
        <v>263</v>
      </c>
      <c r="G8" s="150" t="s">
        <v>12</v>
      </c>
      <c r="H8" s="208"/>
      <c r="I8" s="209" t="s">
        <v>264</v>
      </c>
      <c r="J8" s="209" t="s">
        <v>104</v>
      </c>
      <c r="K8" s="151"/>
      <c r="L8" s="151"/>
      <c r="M8" s="151"/>
      <c r="N8" s="151"/>
      <c r="O8" s="151"/>
      <c r="P8" s="211"/>
      <c r="Q8" s="152"/>
      <c r="R8" s="150" t="str">
        <f ca="1">IF(ISERROR($V8),"",OFFSET('Smelter Look-up'!$C$4,$V8-4,0)&amp;"")</f>
        <v>Port Colborne Refinery</v>
      </c>
      <c r="S8" s="156" t="str">
        <f t="shared" ca="1" si="0"/>
        <v>CA</v>
      </c>
      <c r="T8" s="156" t="str">
        <f ca="1">IF(B8="","",IF(ISERROR(MATCH($J8,SorP!$B$1:$B$6226,0)),"",INDIRECT("'SorP'!$A$"&amp;MATCH($S8&amp;$J8,SorP!C:C,0))))</f>
        <v>CA-ON</v>
      </c>
      <c r="U8" s="169"/>
      <c r="V8" s="170">
        <f>IF(C8="",NA(),MATCH($B8&amp;$C8,'Smelter Look-up'!$J:$J,0))</f>
        <v>113</v>
      </c>
      <c r="X8" s="171">
        <f t="shared" si="1"/>
        <v>0</v>
      </c>
      <c r="AB8" s="171" t="str">
        <f t="shared" si="2"/>
        <v>CobaltPort Colborne Refinery</v>
      </c>
    </row>
    <row r="9" spans="1:34" s="171" customFormat="1" ht="27">
      <c r="A9" s="200" t="s">
        <v>184</v>
      </c>
      <c r="B9" s="150" t="s">
        <v>43</v>
      </c>
      <c r="C9" s="153" t="s">
        <v>183</v>
      </c>
      <c r="D9" s="150"/>
      <c r="E9" s="150" t="s">
        <v>19213</v>
      </c>
      <c r="F9" s="150" t="s">
        <v>184</v>
      </c>
      <c r="G9" s="150" t="s">
        <v>12</v>
      </c>
      <c r="H9" s="208"/>
      <c r="I9" s="209" t="s">
        <v>185</v>
      </c>
      <c r="J9" s="209" t="s">
        <v>186</v>
      </c>
      <c r="K9" s="151"/>
      <c r="L9" s="151"/>
      <c r="M9" s="151"/>
      <c r="N9" s="151"/>
      <c r="O9" s="151"/>
      <c r="P9" s="211"/>
      <c r="Q9" s="152"/>
      <c r="R9" s="150" t="str">
        <f ca="1">IF(ISERROR($V9),"",OFFSET('Smelter Look-up'!$C$4,$V9-4,0)&amp;"")</f>
        <v>Kamoto Copper Company</v>
      </c>
      <c r="S9" s="156" t="str">
        <f t="shared" ca="1" si="0"/>
        <v>CD</v>
      </c>
      <c r="T9" s="156" t="str">
        <f ca="1">IF(B9="","",IF(ISERROR(MATCH($J9,SorP!$B$1:$B$6226,0)),"",INDIRECT("'SorP'!$A$"&amp;MATCH($S9&amp;$J9,SorP!C:C,0))))</f>
        <v>CD-LU</v>
      </c>
      <c r="U9" s="169"/>
      <c r="V9" s="170">
        <f>IF(C9="",NA(),MATCH($B9&amp;$C9,'Smelter Look-up'!$J:$J,0))</f>
        <v>64</v>
      </c>
      <c r="X9" s="171">
        <f t="shared" si="1"/>
        <v>0</v>
      </c>
      <c r="AB9" s="171" t="str">
        <f t="shared" si="2"/>
        <v>CobaltKamoto Copper Company</v>
      </c>
    </row>
    <row r="10" spans="1:34" s="171" customFormat="1" ht="20">
      <c r="A10" s="201" t="s">
        <v>78</v>
      </c>
      <c r="B10" s="150" t="s">
        <v>43</v>
      </c>
      <c r="C10" s="153" t="s">
        <v>80</v>
      </c>
      <c r="D10" s="150"/>
      <c r="E10" s="150" t="s">
        <v>19214</v>
      </c>
      <c r="F10" s="150" t="s">
        <v>78</v>
      </c>
      <c r="G10" s="150" t="s">
        <v>12</v>
      </c>
      <c r="H10" s="208"/>
      <c r="I10" s="209" t="s">
        <v>79</v>
      </c>
      <c r="J10" s="209" t="s">
        <v>7841</v>
      </c>
      <c r="K10" s="151"/>
      <c r="L10" s="151"/>
      <c r="M10" s="151"/>
      <c r="N10" s="151"/>
      <c r="O10" s="151"/>
      <c r="P10" s="211"/>
      <c r="Q10" s="152"/>
      <c r="R10" s="150" t="str">
        <f ca="1">IF(ISERROR($V10),"",OFFSET('Smelter Look-up'!$C$4,$V10-4,0)&amp;"")</f>
        <v>Compagnie de Tifnout Tiranimine</v>
      </c>
      <c r="S10" s="156" t="str">
        <f t="shared" ca="1" si="0"/>
        <v>MA</v>
      </c>
      <c r="T10" s="156" t="str">
        <f ca="1">IF(B10="","",IF(ISERROR(MATCH($J10,SorP!$B$1:$B$6226,0)),"",INDIRECT("'SorP'!$A$"&amp;MATCH($S10&amp;$J10,SorP!C:C,0))))</f>
        <v>MA-07</v>
      </c>
      <c r="U10" s="169"/>
      <c r="V10" s="170">
        <f>IF(C10="",NA(),MATCH($B10&amp;$C10,'Smelter Look-up'!$J:$J,0))</f>
        <v>12</v>
      </c>
      <c r="X10" s="171">
        <f t="shared" si="1"/>
        <v>0</v>
      </c>
      <c r="AB10" s="171" t="str">
        <f t="shared" si="2"/>
        <v>CobaltComplexe hydrométallurgique de Guemassa</v>
      </c>
    </row>
    <row r="11" spans="1:34" s="171" customFormat="1" ht="20">
      <c r="A11" s="200" t="s">
        <v>175</v>
      </c>
      <c r="B11" s="150" t="s">
        <v>43</v>
      </c>
      <c r="C11" s="153" t="s">
        <v>174</v>
      </c>
      <c r="D11" s="150"/>
      <c r="E11" s="150" t="s">
        <v>19209</v>
      </c>
      <c r="F11" s="150" t="s">
        <v>175</v>
      </c>
      <c r="G11" s="150" t="s">
        <v>12</v>
      </c>
      <c r="H11" s="208"/>
      <c r="I11" s="209" t="s">
        <v>176</v>
      </c>
      <c r="J11" s="209" t="s">
        <v>177</v>
      </c>
      <c r="K11" s="151"/>
      <c r="L11" s="151"/>
      <c r="M11" s="151"/>
      <c r="N11" s="151"/>
      <c r="O11" s="151"/>
      <c r="P11" s="211"/>
      <c r="Q11" s="152"/>
      <c r="R11" s="150" t="str">
        <f ca="1">IF(ISERROR($V11),"",OFFSET('Smelter Look-up'!$C$4,$V11-4,0)&amp;"")</f>
        <v>Jingmen GEM Co., Ltd.</v>
      </c>
      <c r="S11" s="156" t="str">
        <f t="shared" ca="1" si="0"/>
        <v>CN</v>
      </c>
      <c r="T11" s="156" t="str">
        <f ca="1">IF(B11="","",IF(ISERROR(MATCH($J11,SorP!$B$1:$B$6226,0)),"",INDIRECT("'SorP'!$A$"&amp;MATCH($S11&amp;$J11,SorP!C:C,0))))</f>
        <v>CN-HB</v>
      </c>
      <c r="U11" s="169"/>
      <c r="V11" s="170">
        <f>IF(C11="",NA(),MATCH($B11&amp;$C11,'Smelter Look-up'!$J:$J,0))</f>
        <v>62</v>
      </c>
      <c r="X11" s="171">
        <f t="shared" si="1"/>
        <v>0</v>
      </c>
      <c r="AB11" s="171" t="str">
        <f t="shared" si="2"/>
        <v>CobaltJingmen GEM Co., Ltd.</v>
      </c>
    </row>
    <row r="12" spans="1:34" s="171" customFormat="1" ht="20">
      <c r="A12" s="200" t="s">
        <v>114</v>
      </c>
      <c r="B12" s="150" t="s">
        <v>43</v>
      </c>
      <c r="C12" s="153" t="s">
        <v>113</v>
      </c>
      <c r="D12" s="150"/>
      <c r="E12" s="150" t="s">
        <v>19209</v>
      </c>
      <c r="F12" s="150" t="s">
        <v>114</v>
      </c>
      <c r="G12" s="150" t="s">
        <v>12</v>
      </c>
      <c r="H12" s="208"/>
      <c r="I12" s="209" t="s">
        <v>111</v>
      </c>
      <c r="J12" s="209" t="s">
        <v>112</v>
      </c>
      <c r="K12" s="151"/>
      <c r="L12" s="151"/>
      <c r="M12" s="151"/>
      <c r="N12" s="151"/>
      <c r="O12" s="151"/>
      <c r="P12" s="211"/>
      <c r="Q12" s="152"/>
      <c r="R12" s="150" t="str">
        <f ca="1">IF(ISERROR($V12),"",OFFSET('Smelter Look-up'!$C$4,$V12-4,0)&amp;"")</f>
        <v>Ganzhou Highpower Technology Co., Ltd.</v>
      </c>
      <c r="S12" s="156" t="str">
        <f t="shared" ca="1" si="0"/>
        <v>CN</v>
      </c>
      <c r="T12" s="156" t="str">
        <f ca="1">IF(B12="","",IF(ISERROR(MATCH($J12,SorP!$B$1:$B$6226,0)),"",INDIRECT("'SorP'!$A$"&amp;MATCH($S12&amp;$J12,SorP!C:C,0))))</f>
        <v>CN-JX</v>
      </c>
      <c r="U12" s="169"/>
      <c r="V12" s="170">
        <f>IF(C12="",NA(),MATCH($B12&amp;$C12,'Smelter Look-up'!$J:$J,0))</f>
        <v>28</v>
      </c>
      <c r="X12" s="171">
        <f t="shared" si="1"/>
        <v>0</v>
      </c>
      <c r="AB12" s="171" t="str">
        <f t="shared" si="2"/>
        <v>CobaltGanzhou Highpower Technology Co., Ltd.</v>
      </c>
    </row>
    <row r="13" spans="1:34" s="171" customFormat="1" ht="20">
      <c r="A13" s="201" t="s">
        <v>226</v>
      </c>
      <c r="B13" s="150" t="s">
        <v>43</v>
      </c>
      <c r="C13" s="153" t="s">
        <v>224</v>
      </c>
      <c r="D13" s="150"/>
      <c r="E13" s="150" t="s">
        <v>19215</v>
      </c>
      <c r="F13" s="150" t="s">
        <v>226</v>
      </c>
      <c r="G13" s="150" t="s">
        <v>12</v>
      </c>
      <c r="H13" s="208"/>
      <c r="I13" s="209" t="s">
        <v>227</v>
      </c>
      <c r="J13" s="209" t="s">
        <v>228</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IF(B13="","",IF(ISERROR(MATCH($J13,SorP!$B$1:$B$6226,0)),"",INDIRECT("'SorP'!$A$"&amp;MATCH($S13&amp;$J13,SorP!C:C,0))))</f>
        <v>AU-WA</v>
      </c>
      <c r="U13" s="169"/>
      <c r="V13" s="170">
        <f>IF(C13="",NA(),MATCH($B13&amp;$C13,'Smelter Look-up'!$J:$J,0))</f>
        <v>94</v>
      </c>
      <c r="X13" s="171">
        <f t="shared" si="1"/>
        <v>0</v>
      </c>
      <c r="AB13" s="171" t="str">
        <f t="shared" si="2"/>
        <v>CobaltMurrin Murrin Nickel Cobalt Plant</v>
      </c>
    </row>
    <row r="14" spans="1:34" s="171" customFormat="1" ht="20">
      <c r="A14" s="201" t="s">
        <v>88</v>
      </c>
      <c r="B14" s="150" t="s">
        <v>43</v>
      </c>
      <c r="C14" s="153" t="s">
        <v>91</v>
      </c>
      <c r="D14" s="150"/>
      <c r="E14" s="150" t="s">
        <v>19216</v>
      </c>
      <c r="F14" s="150" t="s">
        <v>88</v>
      </c>
      <c r="G14" s="150" t="s">
        <v>12</v>
      </c>
      <c r="H14" s="208"/>
      <c r="I14" s="209" t="s">
        <v>89</v>
      </c>
      <c r="J14" s="209" t="s">
        <v>90</v>
      </c>
      <c r="K14" s="151"/>
      <c r="L14" s="151"/>
      <c r="M14" s="151"/>
      <c r="N14" s="151"/>
      <c r="O14" s="151"/>
      <c r="P14" s="211"/>
      <c r="Q14" s="152"/>
      <c r="R14" s="150" t="str">
        <f ca="1">IF(ISERROR($V14),"",OFFSET('Smelter Look-up'!$C$4,$V14-4,0)&amp;"")</f>
        <v>Cosmo Chemical, Ltd.</v>
      </c>
      <c r="S14" s="156" t="str">
        <f t="shared" ca="1" si="0"/>
        <v>KR</v>
      </c>
      <c r="T14" s="156" t="str">
        <f ca="1">IF(B14="","",IF(ISERROR(MATCH($J14,SorP!$B$1:$B$6226,0)),"",INDIRECT("'SorP'!$A$"&amp;MATCH($S14&amp;$J14,SorP!C:C,0))))</f>
        <v>KR-48</v>
      </c>
      <c r="U14" s="169"/>
      <c r="V14" s="170">
        <f>IF(C14="",NA(),MATCH($B14&amp;$C14,'Smelter Look-up'!$J:$J,0))</f>
        <v>15</v>
      </c>
      <c r="X14" s="171">
        <f t="shared" si="1"/>
        <v>0</v>
      </c>
      <c r="AB14" s="171" t="str">
        <f t="shared" si="2"/>
        <v>CobaltCosmo EcoChem Co., Ltd.</v>
      </c>
    </row>
    <row r="15" spans="1:34" s="171" customFormat="1" ht="27">
      <c r="A15" s="321" t="s">
        <v>83</v>
      </c>
      <c r="B15" s="150" t="s">
        <v>43</v>
      </c>
      <c r="C15" s="322" t="s">
        <v>81</v>
      </c>
      <c r="D15" s="150"/>
      <c r="E15" s="150" t="s">
        <v>19217</v>
      </c>
      <c r="F15" s="150" t="s">
        <v>83</v>
      </c>
      <c r="G15" s="150" t="s">
        <v>12</v>
      </c>
      <c r="H15" s="208"/>
      <c r="I15" s="209" t="s">
        <v>84</v>
      </c>
      <c r="J15" s="209" t="s">
        <v>85</v>
      </c>
      <c r="K15" s="151"/>
      <c r="L15" s="151"/>
      <c r="M15" s="151"/>
      <c r="N15" s="151"/>
      <c r="O15" s="151"/>
      <c r="P15" s="211"/>
      <c r="Q15" s="152"/>
      <c r="R15" s="150" t="str">
        <f ca="1">IF(ISERROR($V15),"",OFFSET('Smelter Look-up'!$C$4,$V15-4,0)&amp;"")</f>
        <v>CoreMax Corporation</v>
      </c>
      <c r="S15" s="156" t="str">
        <f t="shared" ca="1" si="0"/>
        <v>TW</v>
      </c>
      <c r="T15" s="156" t="str">
        <f ca="1">IF(B15="","",IF(ISERROR(MATCH($J15,SorP!$B$1:$B$6226,0)),"",INDIRECT("'SorP'!$A$"&amp;MATCH($S15&amp;$J15,SorP!C:C,0))))</f>
        <v>TW-MIA</v>
      </c>
      <c r="U15" s="169"/>
      <c r="V15" s="170">
        <f>IF(C15="",NA(),MATCH($B15&amp;$C15,'Smelter Look-up'!$J:$J,0))</f>
        <v>13</v>
      </c>
      <c r="X15" s="171">
        <f t="shared" si="1"/>
        <v>0</v>
      </c>
      <c r="AB15" s="171" t="str">
        <f t="shared" si="2"/>
        <v>CobaltCoreMax Corporation</v>
      </c>
    </row>
    <row r="16" spans="1:34" s="171" customFormat="1" ht="20">
      <c r="A16" s="323" t="s">
        <v>175</v>
      </c>
      <c r="B16" s="324" t="s">
        <v>43</v>
      </c>
      <c r="C16" s="325" t="s">
        <v>174</v>
      </c>
      <c r="D16" s="324"/>
      <c r="E16" s="324" t="s">
        <v>71</v>
      </c>
      <c r="F16" s="324" t="s">
        <v>175</v>
      </c>
      <c r="G16" s="324" t="s">
        <v>12</v>
      </c>
      <c r="H16" s="326">
        <v>0</v>
      </c>
      <c r="I16" s="326" t="s">
        <v>176</v>
      </c>
      <c r="J16" s="326" t="s">
        <v>177</v>
      </c>
      <c r="K16" s="151"/>
      <c r="L16" s="151"/>
      <c r="M16" s="151"/>
      <c r="N16" s="151"/>
      <c r="O16" s="151"/>
      <c r="P16" s="211"/>
      <c r="Q16" s="152"/>
      <c r="R16" s="150" t="str">
        <f ca="1">IF(ISERROR($V16),"",OFFSET('Smelter Look-up'!$C$4,$V16-4,0)&amp;"")</f>
        <v>Jingmen GEM Co., Ltd.</v>
      </c>
      <c r="S16" s="156" t="str">
        <f t="shared" ca="1" si="0"/>
        <v>CN</v>
      </c>
      <c r="T16" s="156" t="str">
        <f ca="1">IF(B16="","",IF(ISERROR(MATCH($J16,SorP!$B$1:$B$6226,0)),"",INDIRECT("'SorP'!$A$"&amp;MATCH($S16&amp;$J16,SorP!C:C,0))))</f>
        <v>CN-HB</v>
      </c>
      <c r="U16" s="169"/>
      <c r="V16" s="170">
        <f>IF(C16="",NA(),MATCH($B16&amp;$C16,'Smelter Look-up'!$J:$J,0))</f>
        <v>62</v>
      </c>
      <c r="X16" s="171">
        <f t="shared" si="1"/>
        <v>0</v>
      </c>
      <c r="AB16" s="171" t="str">
        <f t="shared" si="2"/>
        <v>CobaltJingmen GEM Co., Ltd.</v>
      </c>
    </row>
    <row r="17" spans="1:28" s="171" customFormat="1" ht="27">
      <c r="A17" s="323" t="s">
        <v>271</v>
      </c>
      <c r="B17" s="150" t="s">
        <v>43</v>
      </c>
      <c r="C17" s="325" t="s">
        <v>270</v>
      </c>
      <c r="D17" s="150"/>
      <c r="E17" s="150" t="s">
        <v>71</v>
      </c>
      <c r="F17" s="150" t="s">
        <v>271</v>
      </c>
      <c r="G17" s="150" t="s">
        <v>12</v>
      </c>
      <c r="H17" s="208">
        <v>0</v>
      </c>
      <c r="I17" s="209" t="s">
        <v>272</v>
      </c>
      <c r="J17" s="209" t="s">
        <v>211</v>
      </c>
      <c r="K17" s="151"/>
      <c r="L17" s="151"/>
      <c r="M17" s="151"/>
      <c r="N17" s="151"/>
      <c r="O17" s="151"/>
      <c r="P17" s="211"/>
      <c r="Q17" s="152"/>
      <c r="R17" s="150" t="str">
        <f ca="1">IF(ISERROR($V17),"",OFFSET('Smelter Look-up'!$C$4,$V17-4,0)&amp;"")</f>
        <v>Quzhou Huayou Cobalt New Material Co., Ltd.</v>
      </c>
      <c r="S17" s="156" t="str">
        <f t="shared" ca="1" si="0"/>
        <v>CN</v>
      </c>
      <c r="T17" s="156" t="str">
        <f ca="1">IF(B17="","",IF(ISERROR(MATCH($J17,SorP!$B$1:$B$6226,0)),"",INDIRECT("'SorP'!$A$"&amp;MATCH($S17&amp;$J17,SorP!C:C,0))))</f>
        <v>CN-ZJ</v>
      </c>
      <c r="U17" s="169"/>
      <c r="V17" s="170">
        <f>IF(C17="",NA(),MATCH($B17&amp;$C17,'Smelter Look-up'!$J:$J,0))</f>
        <v>118</v>
      </c>
      <c r="X17" s="171">
        <f t="shared" si="1"/>
        <v>0</v>
      </c>
      <c r="AB17" s="171" t="str">
        <f t="shared" si="2"/>
        <v>CobaltQuzhou Huayou Cobalt New Material Co., Ltd.</v>
      </c>
    </row>
    <row r="18" spans="1:28" s="171" customFormat="1" ht="20">
      <c r="A18" s="200" t="s">
        <v>314</v>
      </c>
      <c r="B18" s="150" t="s">
        <v>43</v>
      </c>
      <c r="C18" s="153" t="s">
        <v>313</v>
      </c>
      <c r="D18" s="150"/>
      <c r="E18" s="150" t="s">
        <v>71</v>
      </c>
      <c r="F18" s="150" t="s">
        <v>314</v>
      </c>
      <c r="G18" s="150" t="s">
        <v>12</v>
      </c>
      <c r="H18" s="208">
        <v>0</v>
      </c>
      <c r="I18" s="209" t="s">
        <v>315</v>
      </c>
      <c r="J18" s="209" t="s">
        <v>211</v>
      </c>
      <c r="K18" s="151"/>
      <c r="L18" s="151"/>
      <c r="M18" s="151"/>
      <c r="N18" s="151"/>
      <c r="O18" s="151"/>
      <c r="P18" s="211"/>
      <c r="Q18" s="152"/>
      <c r="R18" s="150" t="str">
        <f ca="1">IF(ISERROR($V18),"",OFFSET('Smelter Look-up'!$C$4,$V18-4,0)&amp;"")</f>
        <v>Zhejiang Huayou Cobalt Company Limited</v>
      </c>
      <c r="S18" s="156" t="str">
        <f t="shared" ca="1" si="0"/>
        <v>CN</v>
      </c>
      <c r="T18" s="156" t="str">
        <f ca="1">IF(B18="","",IF(ISERROR(MATCH($J18,SorP!$B$1:$B$6226,0)),"",INDIRECT("'SorP'!$A$"&amp;MATCH($S18&amp;$J18,SorP!C:C,0))))</f>
        <v>CN-ZJ</v>
      </c>
      <c r="U18" s="169"/>
      <c r="V18" s="170">
        <f>IF(C18="",NA(),MATCH($B18&amp;$C18,'Smelter Look-up'!$J:$J,0))</f>
        <v>151</v>
      </c>
      <c r="X18" s="171">
        <f t="shared" si="1"/>
        <v>0</v>
      </c>
      <c r="AB18" s="171" t="str">
        <f t="shared" si="2"/>
        <v>CobaltZhejiang Huayou Cobalt Company Limited</v>
      </c>
    </row>
    <row r="19" spans="1:28" s="171" customFormat="1" ht="20">
      <c r="A19" s="150" t="s">
        <v>118</v>
      </c>
      <c r="B19" s="150" t="s">
        <v>43</v>
      </c>
      <c r="C19" s="153" t="s">
        <v>117</v>
      </c>
      <c r="D19" s="150"/>
      <c r="E19" s="150" t="s">
        <v>71</v>
      </c>
      <c r="F19" s="150" t="s">
        <v>118</v>
      </c>
      <c r="G19" s="150" t="s">
        <v>12</v>
      </c>
      <c r="H19" s="208">
        <v>0</v>
      </c>
      <c r="I19" s="209" t="s">
        <v>119</v>
      </c>
      <c r="J19" s="209" t="s">
        <v>120</v>
      </c>
      <c r="K19" s="151"/>
      <c r="L19" s="151"/>
      <c r="M19" s="151"/>
      <c r="N19" s="151"/>
      <c r="O19" s="151"/>
      <c r="P19" s="211"/>
      <c r="Q19" s="152"/>
      <c r="R19" s="150" t="str">
        <f ca="1">IF(ISERROR($V19),"",OFFSET('Smelter Look-up'!$C$4,$V19-4,0)&amp;"")</f>
        <v>Gem (Jiangsu) Cobalt Industry Co., Ltd.</v>
      </c>
      <c r="S19" s="156" t="str">
        <f t="shared" ca="1" si="0"/>
        <v>CN</v>
      </c>
      <c r="T19" s="156" t="str">
        <f ca="1">IF(B19="","",IF(ISERROR(MATCH($J19,SorP!$B$1:$B$6226,0)),"",INDIRECT("'SorP'!$A$"&amp;MATCH($S19&amp;$J19,SorP!C:C,0))))</f>
        <v>CN-JS</v>
      </c>
      <c r="U19" s="169"/>
      <c r="V19" s="170">
        <f>IF(C19="",NA(),MATCH($B19&amp;$C19,'Smelter Look-up'!$J:$J,0))</f>
        <v>30</v>
      </c>
      <c r="X19" s="171">
        <f t="shared" si="1"/>
        <v>0</v>
      </c>
      <c r="AB19" s="171" t="str">
        <f t="shared" si="2"/>
        <v>CobaltGem (Jiangsu) Cobalt Industry Co., Ltd.</v>
      </c>
    </row>
    <row r="20" spans="1:28" s="171" customFormat="1" ht="27">
      <c r="A20" s="150" t="s">
        <v>246</v>
      </c>
      <c r="B20" s="150" t="s">
        <v>43</v>
      </c>
      <c r="C20" s="153" t="s">
        <v>12722</v>
      </c>
      <c r="D20" s="150"/>
      <c r="E20" s="150" t="s">
        <v>71</v>
      </c>
      <c r="F20" s="150" t="s">
        <v>246</v>
      </c>
      <c r="G20" s="150" t="s">
        <v>12</v>
      </c>
      <c r="H20" s="208">
        <v>0</v>
      </c>
      <c r="I20" s="209" t="s">
        <v>210</v>
      </c>
      <c r="J20" s="209" t="s">
        <v>211</v>
      </c>
      <c r="K20" s="151"/>
      <c r="L20" s="151"/>
      <c r="M20" s="151"/>
      <c r="N20" s="151"/>
      <c r="O20" s="151"/>
      <c r="P20" s="211"/>
      <c r="Q20" s="152"/>
      <c r="R20" s="150" t="str">
        <f ca="1">IF(ISERROR($V20),"",OFFSET('Smelter Look-up'!$C$4,$V20-4,0)&amp;"")</f>
        <v>Zhejiang New Era Zhongneng Technology Co., Ltd.</v>
      </c>
      <c r="S20" s="156" t="str">
        <f t="shared" ca="1" si="0"/>
        <v>CN</v>
      </c>
      <c r="T20" s="156" t="str">
        <f ca="1">IF(B20="","",IF(ISERROR(MATCH($J20,SorP!$B$1:$B$6226,0)),"",INDIRECT("'SorP'!$A$"&amp;MATCH($S20&amp;$J20,SorP!C:C,0))))</f>
        <v>CN-ZJ</v>
      </c>
      <c r="U20" s="169"/>
      <c r="V20" s="170">
        <f>IF(C20="",NA(),MATCH($B20&amp;$C20,'Smelter Look-up'!$J:$J,0))</f>
        <v>152</v>
      </c>
      <c r="X20" s="171">
        <f t="shared" si="1"/>
        <v>0</v>
      </c>
      <c r="AB20" s="171" t="str">
        <f t="shared" si="2"/>
        <v>CobaltZhejiang New Era Zhongneng Technology Co., Ltd.</v>
      </c>
    </row>
    <row r="21" spans="1:28" s="171" customFormat="1" ht="20">
      <c r="A21" s="150" t="s">
        <v>114</v>
      </c>
      <c r="B21" s="150" t="s">
        <v>43</v>
      </c>
      <c r="C21" s="153" t="s">
        <v>113</v>
      </c>
      <c r="D21" s="150"/>
      <c r="E21" s="150" t="s">
        <v>71</v>
      </c>
      <c r="F21" s="150" t="s">
        <v>114</v>
      </c>
      <c r="G21" s="150" t="s">
        <v>12</v>
      </c>
      <c r="H21" s="208">
        <v>0</v>
      </c>
      <c r="I21" s="209" t="s">
        <v>111</v>
      </c>
      <c r="J21" s="209" t="s">
        <v>112</v>
      </c>
      <c r="K21" s="151"/>
      <c r="L21" s="151"/>
      <c r="M21" s="151"/>
      <c r="N21" s="151"/>
      <c r="O21" s="151"/>
      <c r="P21" s="211"/>
      <c r="Q21" s="152"/>
      <c r="R21" s="150" t="str">
        <f ca="1">IF(ISERROR($V21),"",OFFSET('Smelter Look-up'!$C$4,$V21-4,0)&amp;"")</f>
        <v>Ganzhou Highpower Technology Co., Ltd.</v>
      </c>
      <c r="S21" s="156" t="str">
        <f t="shared" ca="1" si="0"/>
        <v>CN</v>
      </c>
      <c r="T21" s="156" t="str">
        <f ca="1">IF(B21="","",IF(ISERROR(MATCH($J21,SorP!$B$1:$B$6226,0)),"",INDIRECT("'SorP'!$A$"&amp;MATCH($S21&amp;$J21,SorP!C:C,0))))</f>
        <v>CN-JX</v>
      </c>
      <c r="U21" s="169"/>
      <c r="V21" s="170">
        <f>IF(C21="",NA(),MATCH($B21&amp;$C21,'Smelter Look-up'!$J:$J,0))</f>
        <v>28</v>
      </c>
      <c r="X21" s="171">
        <f t="shared" si="1"/>
        <v>0</v>
      </c>
      <c r="AB21" s="171" t="str">
        <f t="shared" si="2"/>
        <v>CobaltGanzhou Highpower Technology Co., Ltd.</v>
      </c>
    </row>
    <row r="22" spans="1:28" s="171" customFormat="1" ht="20">
      <c r="A22" s="150" t="s">
        <v>12528</v>
      </c>
      <c r="B22" s="150" t="s">
        <v>43</v>
      </c>
      <c r="C22" s="153" t="s">
        <v>12704</v>
      </c>
      <c r="D22" s="150"/>
      <c r="E22" s="150" t="s">
        <v>71</v>
      </c>
      <c r="F22" s="150" t="s">
        <v>12528</v>
      </c>
      <c r="G22" s="150" t="s">
        <v>12</v>
      </c>
      <c r="H22" s="208">
        <v>0</v>
      </c>
      <c r="I22" s="209" t="s">
        <v>12529</v>
      </c>
      <c r="J22" s="209" t="s">
        <v>74</v>
      </c>
      <c r="K22" s="151"/>
      <c r="L22" s="151"/>
      <c r="M22" s="151"/>
      <c r="N22" s="151"/>
      <c r="O22" s="151"/>
      <c r="P22" s="211"/>
      <c r="Q22" s="152"/>
      <c r="R22" s="150" t="str">
        <f ca="1">IF(ISERROR($V22),"",OFFSET('Smelter Look-up'!$C$4,$V22-4,0)&amp;"")</f>
        <v>Anhui Hanrui New Material Co., Ltd.</v>
      </c>
      <c r="S22" s="156" t="str">
        <f t="shared" ca="1" si="0"/>
        <v>CN</v>
      </c>
      <c r="T22" s="156" t="str">
        <f ca="1">IF(B22="","",IF(ISERROR(MATCH($J22,SorP!$B$1:$B$6226,0)),"",INDIRECT("'SorP'!$A$"&amp;MATCH($S22&amp;$J22,SorP!C:C,0))))</f>
        <v>CN-AH</v>
      </c>
      <c r="U22" s="169"/>
      <c r="V22" s="170">
        <f>IF(C22="",NA(),MATCH($B22&amp;$C22,'Smelter Look-up'!$J:$J,0))</f>
        <v>5</v>
      </c>
      <c r="X22" s="171">
        <f t="shared" si="1"/>
        <v>0</v>
      </c>
      <c r="AB22" s="171" t="str">
        <f t="shared" si="2"/>
        <v>CobaltAnhui Hanrui New Material Co., Ltd.</v>
      </c>
    </row>
    <row r="23" spans="1:28" s="171" customFormat="1" ht="20">
      <c r="A23" s="150" t="s">
        <v>226</v>
      </c>
      <c r="B23" s="150" t="s">
        <v>43</v>
      </c>
      <c r="C23" s="153" t="s">
        <v>224</v>
      </c>
      <c r="D23" s="150"/>
      <c r="E23" s="150" t="s">
        <v>225</v>
      </c>
      <c r="F23" s="150" t="s">
        <v>226</v>
      </c>
      <c r="G23" s="150" t="s">
        <v>12</v>
      </c>
      <c r="H23" s="208">
        <v>0</v>
      </c>
      <c r="I23" s="209" t="s">
        <v>227</v>
      </c>
      <c r="J23" s="209" t="s">
        <v>228</v>
      </c>
      <c r="K23" s="151"/>
      <c r="L23" s="151"/>
      <c r="M23" s="151"/>
      <c r="N23" s="151"/>
      <c r="O23" s="151"/>
      <c r="P23" s="211"/>
      <c r="Q23" s="152"/>
      <c r="R23" s="150" t="str">
        <f ca="1">IF(ISERROR($V23),"",OFFSET('Smelter Look-up'!$C$4,$V23-4,0)&amp;"")</f>
        <v>Murrin Murrin Nickel Cobalt Plant</v>
      </c>
      <c r="S23" s="156" t="str">
        <f t="shared" ca="1" si="0"/>
        <v>AU</v>
      </c>
      <c r="T23" s="156" t="str">
        <f ca="1">IF(B23="","",IF(ISERROR(MATCH($J23,SorP!$B$1:$B$6226,0)),"",INDIRECT("'SorP'!$A$"&amp;MATCH($S23&amp;$J23,SorP!C:C,0))))</f>
        <v>AU-WA</v>
      </c>
      <c r="U23" s="169"/>
      <c r="V23" s="170">
        <f>IF(C23="",NA(),MATCH($B23&amp;$C23,'Smelter Look-up'!$J:$J,0))</f>
        <v>94</v>
      </c>
      <c r="X23" s="171">
        <f t="shared" si="1"/>
        <v>0</v>
      </c>
      <c r="AB23" s="171" t="str">
        <f t="shared" si="2"/>
        <v>CobaltMurrin Murrin Nickel Cobalt Plant</v>
      </c>
    </row>
    <row r="24" spans="1:28" s="171" customFormat="1" ht="27">
      <c r="A24" s="150" t="s">
        <v>191</v>
      </c>
      <c r="B24" s="150" t="s">
        <v>43</v>
      </c>
      <c r="C24" s="153" t="s">
        <v>190</v>
      </c>
      <c r="D24" s="150"/>
      <c r="E24" s="150" t="s">
        <v>71</v>
      </c>
      <c r="F24" s="150" t="s">
        <v>191</v>
      </c>
      <c r="G24" s="150" t="s">
        <v>12</v>
      </c>
      <c r="H24" s="208">
        <v>0</v>
      </c>
      <c r="I24" s="209" t="s">
        <v>192</v>
      </c>
      <c r="J24" s="209" t="s">
        <v>193</v>
      </c>
      <c r="K24" s="151"/>
      <c r="L24" s="151"/>
      <c r="M24" s="151"/>
      <c r="N24" s="151"/>
      <c r="O24" s="151"/>
      <c r="P24" s="211"/>
      <c r="Q24" s="152"/>
      <c r="R24" s="150" t="str">
        <f ca="1">IF(ISERROR($V24),"",OFFSET('Smelter Look-up'!$C$4,$V24-4,0)&amp;"")</f>
        <v>Lanzhou Jinchuan Advanced Materials Technology Co., Ltd.</v>
      </c>
      <c r="S24" s="156" t="str">
        <f t="shared" ca="1" si="0"/>
        <v>CN</v>
      </c>
      <c r="T24" s="156" t="str">
        <f ca="1">IF(B24="","",IF(ISERROR(MATCH($J24,SorP!$B$1:$B$6226,0)),"",INDIRECT("'SorP'!$A$"&amp;MATCH($S24&amp;$J24,SorP!C:C,0))))</f>
        <v>CN-GS</v>
      </c>
      <c r="U24" s="169"/>
      <c r="V24" s="170">
        <f>IF(C24="",NA(),MATCH($B24&amp;$C24,'Smelter Look-up'!$J:$J,0))</f>
        <v>74</v>
      </c>
      <c r="X24" s="171">
        <f t="shared" si="1"/>
        <v>0</v>
      </c>
      <c r="AB24" s="171" t="str">
        <f t="shared" si="2"/>
        <v>CobaltLanzhou Jinchuan Advanced Materials Technology Co., Ltd.</v>
      </c>
    </row>
    <row r="25" spans="1:28" s="171" customFormat="1" ht="20">
      <c r="A25" s="150" t="s">
        <v>309</v>
      </c>
      <c r="B25" s="150" t="s">
        <v>43</v>
      </c>
      <c r="C25" s="153" t="s">
        <v>308</v>
      </c>
      <c r="D25" s="150"/>
      <c r="E25" s="150" t="s">
        <v>71</v>
      </c>
      <c r="F25" s="150" t="s">
        <v>309</v>
      </c>
      <c r="G25" s="150" t="s">
        <v>12</v>
      </c>
      <c r="H25" s="208">
        <v>0</v>
      </c>
      <c r="I25" s="209" t="s">
        <v>310</v>
      </c>
      <c r="J25" s="209" t="s">
        <v>311</v>
      </c>
      <c r="K25" s="151"/>
      <c r="L25" s="151"/>
      <c r="M25" s="151"/>
      <c r="N25" s="151"/>
      <c r="O25" s="151"/>
      <c r="P25" s="211"/>
      <c r="Q25" s="152"/>
      <c r="R25" s="150" t="str">
        <f ca="1">IF(ISERROR($V25),"",OFFSET('Smelter Look-up'!$C$4,$V25-4,0)&amp;"")</f>
        <v>XTC New Energy Materials (Xiamen) LTD.</v>
      </c>
      <c r="S25" s="156" t="str">
        <f t="shared" ca="1" si="0"/>
        <v>CN</v>
      </c>
      <c r="T25" s="156" t="str">
        <f ca="1">IF(B25="","",IF(ISERROR(MATCH($J25,SorP!$B$1:$B$6226,0)),"",INDIRECT("'SorP'!$A$"&amp;MATCH($S25&amp;$J25,SorP!C:C,0))))</f>
        <v>CN-FJ</v>
      </c>
      <c r="U25" s="169"/>
      <c r="V25" s="170">
        <f>IF(C25="",NA(),MATCH($B25&amp;$C25,'Smelter Look-up'!$J:$J,0))</f>
        <v>148</v>
      </c>
      <c r="X25" s="171">
        <f t="shared" si="1"/>
        <v>0</v>
      </c>
      <c r="AB25" s="171" t="str">
        <f t="shared" si="2"/>
        <v>CobaltXTC New Energy Materials (Xiamen) LTD.</v>
      </c>
    </row>
    <row r="26" spans="1:28" s="171" customFormat="1" ht="20">
      <c r="A26" s="150" t="s">
        <v>170</v>
      </c>
      <c r="B26" s="150" t="s">
        <v>43</v>
      </c>
      <c r="C26" s="153" t="s">
        <v>169</v>
      </c>
      <c r="D26" s="150"/>
      <c r="E26" s="150" t="s">
        <v>71</v>
      </c>
      <c r="F26" s="150" t="s">
        <v>170</v>
      </c>
      <c r="G26" s="150" t="s">
        <v>12</v>
      </c>
      <c r="H26" s="208">
        <v>0</v>
      </c>
      <c r="I26" s="209" t="s">
        <v>171</v>
      </c>
      <c r="J26" s="209" t="s">
        <v>120</v>
      </c>
      <c r="K26" s="151"/>
      <c r="L26" s="151"/>
      <c r="M26" s="151"/>
      <c r="N26" s="151"/>
      <c r="O26" s="151"/>
      <c r="P26" s="211"/>
      <c r="Q26" s="152"/>
      <c r="R26" s="150" t="str">
        <f ca="1">IF(ISERROR($V26),"",OFFSET('Smelter Look-up'!$C$4,$V26-4,0)&amp;"")</f>
        <v>Jiangsu Xiongfeng Technology Co., Ltd.</v>
      </c>
      <c r="S26" s="156" t="str">
        <f t="shared" ca="1" si="0"/>
        <v>CN</v>
      </c>
      <c r="T26" s="156" t="str">
        <f ca="1">IF(B26="","",IF(ISERROR(MATCH($J26,SorP!$B$1:$B$6226,0)),"",INDIRECT("'SorP'!$A$"&amp;MATCH($S26&amp;$J26,SorP!C:C,0))))</f>
        <v>CN-JS</v>
      </c>
      <c r="U26" s="169"/>
      <c r="V26" s="170">
        <f>IF(C26="",NA(),MATCH($B26&amp;$C26,'Smelter Look-up'!$J:$J,0))</f>
        <v>57</v>
      </c>
      <c r="X26" s="171">
        <f t="shared" si="1"/>
        <v>0</v>
      </c>
      <c r="AB26" s="171" t="str">
        <f t="shared" si="2"/>
        <v>CobaltJiangsu Xiongfeng Technology Co., Ltd.</v>
      </c>
    </row>
    <row r="27" spans="1:28" s="171" customFormat="1" ht="27">
      <c r="A27" s="150" t="s">
        <v>184</v>
      </c>
      <c r="B27" s="150" t="s">
        <v>43</v>
      </c>
      <c r="C27" s="153" t="s">
        <v>183</v>
      </c>
      <c r="D27" s="150"/>
      <c r="E27" s="150" t="s">
        <v>66</v>
      </c>
      <c r="F27" s="150" t="s">
        <v>184</v>
      </c>
      <c r="G27" s="150" t="s">
        <v>12</v>
      </c>
      <c r="H27" s="208">
        <v>0</v>
      </c>
      <c r="I27" s="209" t="s">
        <v>185</v>
      </c>
      <c r="J27" s="209" t="s">
        <v>186</v>
      </c>
      <c r="K27" s="151"/>
      <c r="L27" s="151"/>
      <c r="M27" s="151"/>
      <c r="N27" s="151"/>
      <c r="O27" s="151"/>
      <c r="P27" s="211"/>
      <c r="Q27" s="152"/>
      <c r="R27" s="150" t="str">
        <f ca="1">IF(ISERROR($V27),"",OFFSET('Smelter Look-up'!$C$4,$V27-4,0)&amp;"")</f>
        <v>Kamoto Copper Company</v>
      </c>
      <c r="S27" s="156" t="str">
        <f t="shared" ca="1" si="0"/>
        <v>CD</v>
      </c>
      <c r="T27" s="156" t="str">
        <f ca="1">IF(B27="","",IF(ISERROR(MATCH($J27,SorP!$B$1:$B$6226,0)),"",INDIRECT("'SorP'!$A$"&amp;MATCH($S27&amp;$J27,SorP!C:C,0))))</f>
        <v>CD-LU</v>
      </c>
      <c r="U27" s="169"/>
      <c r="V27" s="170">
        <f>IF(C27="",NA(),MATCH($B27&amp;$C27,'Smelter Look-up'!$J:$J,0))</f>
        <v>64</v>
      </c>
      <c r="X27" s="171">
        <f t="shared" si="1"/>
        <v>0</v>
      </c>
      <c r="AB27" s="171" t="str">
        <f t="shared" si="2"/>
        <v>CobaltKamoto Copper Company</v>
      </c>
    </row>
    <row r="28" spans="1:28" s="171" customFormat="1" ht="20">
      <c r="A28" s="150" t="s">
        <v>19218</v>
      </c>
      <c r="B28" s="150" t="s">
        <v>43</v>
      </c>
      <c r="C28" s="153" t="s">
        <v>19219</v>
      </c>
      <c r="D28" s="150"/>
      <c r="E28" s="150" t="s">
        <v>71</v>
      </c>
      <c r="F28" s="150" t="s">
        <v>19218</v>
      </c>
      <c r="G28" s="150" t="s">
        <v>12</v>
      </c>
      <c r="H28" s="208">
        <v>0</v>
      </c>
      <c r="I28" s="209" t="s">
        <v>111</v>
      </c>
      <c r="J28" s="209" t="s">
        <v>112</v>
      </c>
      <c r="K28" s="151"/>
      <c r="L28" s="151"/>
      <c r="M28" s="151"/>
      <c r="N28" s="151"/>
      <c r="O28" s="151"/>
      <c r="P28" s="211"/>
      <c r="Q28" s="152"/>
      <c r="R28" s="150" t="str">
        <f ca="1">IF(ISERROR($V28),"",OFFSET('Smelter Look-up'!$C$4,$V28-4,0)&amp;"")</f>
        <v/>
      </c>
      <c r="S28" s="156" t="str">
        <f t="shared" ca="1" si="0"/>
        <v>CN</v>
      </c>
      <c r="T28" s="156" t="str">
        <f ca="1">IF(B28="","",IF(ISERROR(MATCH($J28,SorP!$B$1:$B$6226,0)),"",INDIRECT("'SorP'!$A$"&amp;MATCH($S28&amp;$J28,SorP!C:C,0))))</f>
        <v>CN-JX</v>
      </c>
      <c r="U28" s="169"/>
      <c r="V28" s="170" t="e">
        <f>IF(C28="",NA(),MATCH($B28&amp;$C28,'Smelter Look-up'!$J:$J,0))</f>
        <v>#N/A</v>
      </c>
      <c r="X28" s="171">
        <f t="shared" si="1"/>
        <v>0</v>
      </c>
      <c r="AB28" s="171" t="str">
        <f t="shared" si="2"/>
        <v>CobaltGangzhou Yi Hao Umicore Industry Co.</v>
      </c>
    </row>
    <row r="29" spans="1:28" s="171" customFormat="1" ht="20">
      <c r="A29" s="150" t="s">
        <v>291</v>
      </c>
      <c r="B29" s="150" t="s">
        <v>43</v>
      </c>
      <c r="C29" s="153" t="s">
        <v>289</v>
      </c>
      <c r="D29" s="150"/>
      <c r="E29" s="150" t="s">
        <v>290</v>
      </c>
      <c r="F29" s="150" t="s">
        <v>291</v>
      </c>
      <c r="G29" s="150" t="s">
        <v>12</v>
      </c>
      <c r="H29" s="208">
        <v>0</v>
      </c>
      <c r="I29" s="209" t="s">
        <v>292</v>
      </c>
      <c r="J29" s="209" t="s">
        <v>293</v>
      </c>
      <c r="K29" s="151"/>
      <c r="L29" s="151"/>
      <c r="M29" s="151"/>
      <c r="N29" s="151"/>
      <c r="O29" s="151"/>
      <c r="P29" s="211"/>
      <c r="Q29" s="152"/>
      <c r="R29" s="150" t="str">
        <f ca="1">IF(ISERROR($V29),"",OFFSET('Smelter Look-up'!$C$4,$V29-4,0)&amp;"")</f>
        <v>Umicore Olen</v>
      </c>
      <c r="S29" s="156" t="str">
        <f t="shared" ca="1" si="0"/>
        <v>BE</v>
      </c>
      <c r="T29" s="156" t="str">
        <f ca="1">IF(B29="","",IF(ISERROR(MATCH($J29,SorP!$B$1:$B$6226,0)),"",INDIRECT("'SorP'!$A$"&amp;MATCH($S29&amp;$J29,SorP!C:C,0))))</f>
        <v>BE-VAN</v>
      </c>
      <c r="U29" s="169"/>
      <c r="V29" s="170">
        <f>IF(C29="",NA(),MATCH($B29&amp;$C29,'Smelter Look-up'!$J:$J,0))</f>
        <v>139</v>
      </c>
      <c r="X29" s="171">
        <f t="shared" si="1"/>
        <v>0</v>
      </c>
      <c r="AB29" s="171" t="str">
        <f t="shared" si="2"/>
        <v>CobaltUmicore Olen</v>
      </c>
    </row>
    <row r="30" spans="1:28" s="171" customFormat="1" ht="20">
      <c r="A30" s="150" t="s">
        <v>78</v>
      </c>
      <c r="B30" s="150" t="s">
        <v>43</v>
      </c>
      <c r="C30" s="153" t="s">
        <v>76</v>
      </c>
      <c r="D30" s="150"/>
      <c r="E30" s="150" t="s">
        <v>77</v>
      </c>
      <c r="F30" s="150" t="s">
        <v>78</v>
      </c>
      <c r="G30" s="150" t="s">
        <v>12</v>
      </c>
      <c r="H30" s="208">
        <v>0</v>
      </c>
      <c r="I30" s="209" t="s">
        <v>79</v>
      </c>
      <c r="J30" s="209" t="s">
        <v>7841</v>
      </c>
      <c r="K30" s="151"/>
      <c r="L30" s="151"/>
      <c r="M30" s="151"/>
      <c r="N30" s="151"/>
      <c r="O30" s="151"/>
      <c r="P30" s="211"/>
      <c r="Q30" s="152"/>
      <c r="R30" s="150" t="str">
        <f ca="1">IF(ISERROR($V30),"",OFFSET('Smelter Look-up'!$C$4,$V30-4,0)&amp;"")</f>
        <v>Compagnie de Tifnout Tiranimine</v>
      </c>
      <c r="S30" s="156" t="str">
        <f t="shared" ca="1" si="0"/>
        <v>MA</v>
      </c>
      <c r="T30" s="156" t="str">
        <f ca="1">IF(B30="","",IF(ISERROR(MATCH($J30,SorP!$B$1:$B$6226,0)),"",INDIRECT("'SorP'!$A$"&amp;MATCH($S30&amp;$J30,SorP!C:C,0))))</f>
        <v>MA-07</v>
      </c>
      <c r="U30" s="169"/>
      <c r="V30" s="170">
        <f>IF(C30="",NA(),MATCH($B30&amp;$C30,'Smelter Look-up'!$J:$J,0))</f>
        <v>11</v>
      </c>
      <c r="X30" s="171">
        <f t="shared" si="1"/>
        <v>0</v>
      </c>
      <c r="AB30" s="171" t="str">
        <f t="shared" si="2"/>
        <v>CobaltCompagnie de Tifnout Tiranimine</v>
      </c>
    </row>
    <row r="31" spans="1:28" s="171" customFormat="1" ht="27">
      <c r="A31" s="150" t="s">
        <v>271</v>
      </c>
      <c r="B31" s="150" t="s">
        <v>43</v>
      </c>
      <c r="C31" s="153" t="s">
        <v>270</v>
      </c>
      <c r="D31" s="150"/>
      <c r="E31" s="150" t="s">
        <v>71</v>
      </c>
      <c r="F31" s="150" t="s">
        <v>271</v>
      </c>
      <c r="G31" s="150" t="s">
        <v>12</v>
      </c>
      <c r="H31" s="208">
        <v>0</v>
      </c>
      <c r="I31" s="209" t="s">
        <v>272</v>
      </c>
      <c r="J31" s="209" t="s">
        <v>211</v>
      </c>
      <c r="K31" s="151"/>
      <c r="L31" s="151"/>
      <c r="M31" s="151"/>
      <c r="N31" s="151"/>
      <c r="O31" s="151"/>
      <c r="P31" s="211"/>
      <c r="Q31" s="152"/>
      <c r="R31" s="150" t="str">
        <f ca="1">IF(ISERROR($V31),"",OFFSET('Smelter Look-up'!$C$4,$V31-4,0)&amp;"")</f>
        <v>Quzhou Huayou Cobalt New Material Co., Ltd.</v>
      </c>
      <c r="S31" s="156" t="str">
        <f t="shared" ca="1" si="0"/>
        <v>CN</v>
      </c>
      <c r="T31" s="156" t="str">
        <f ca="1">IF(B31="","",IF(ISERROR(MATCH($J31,SorP!$B$1:$B$6226,0)),"",INDIRECT("'SorP'!$A$"&amp;MATCH($S31&amp;$J31,SorP!C:C,0))))</f>
        <v>CN-ZJ</v>
      </c>
      <c r="U31" s="169"/>
      <c r="V31" s="170">
        <f>IF(C31="",NA(),MATCH($B31&amp;$C31,'Smelter Look-up'!$J:$J,0))</f>
        <v>118</v>
      </c>
      <c r="X31" s="171">
        <f t="shared" si="1"/>
        <v>0</v>
      </c>
      <c r="AB31" s="171" t="str">
        <f t="shared" si="2"/>
        <v>CobaltQuzhou Huayou Cobalt New Material Co., Ltd.</v>
      </c>
    </row>
    <row r="32" spans="1:28" s="171" customFormat="1" ht="20">
      <c r="A32" s="150" t="s">
        <v>172</v>
      </c>
      <c r="B32" s="150" t="s">
        <v>43</v>
      </c>
      <c r="C32" s="153" t="s">
        <v>19220</v>
      </c>
      <c r="D32" s="150"/>
      <c r="E32" s="150" t="s">
        <v>71</v>
      </c>
      <c r="F32" s="150" t="s">
        <v>172</v>
      </c>
      <c r="G32" s="150" t="s">
        <v>12</v>
      </c>
      <c r="H32" s="208">
        <v>0</v>
      </c>
      <c r="I32" s="209" t="s">
        <v>111</v>
      </c>
      <c r="J32" s="209" t="s">
        <v>112</v>
      </c>
      <c r="K32" s="151"/>
      <c r="L32" s="151"/>
      <c r="M32" s="151"/>
      <c r="N32" s="151"/>
      <c r="O32" s="151"/>
      <c r="P32" s="211"/>
      <c r="Q32" s="152"/>
      <c r="R32" s="150" t="str">
        <f ca="1">IF(ISERROR($V32),"",OFFSET('Smelter Look-up'!$C$4,$V32-4,0)&amp;"")</f>
        <v>Jiangxi Jiangwu Cobalt Industrial Co., Ltd.</v>
      </c>
      <c r="S32" s="156" t="str">
        <f t="shared" ca="1" si="0"/>
        <v>CN</v>
      </c>
      <c r="T32" s="156" t="str">
        <f ca="1">IF(B32="","",IF(ISERROR(MATCH($J32,SorP!$B$1:$B$6226,0)),"",INDIRECT("'SorP'!$A$"&amp;MATCH($S32&amp;$J32,SorP!C:C,0))))</f>
        <v>CN-JX</v>
      </c>
      <c r="U32" s="169"/>
      <c r="V32" s="170">
        <f>IF(C32="",NA(),MATCH($B32&amp;$C32,'Smelter Look-up'!$J:$J,0))</f>
        <v>58</v>
      </c>
      <c r="X32" s="171">
        <f t="shared" si="1"/>
        <v>0</v>
      </c>
      <c r="AB32" s="171" t="str">
        <f t="shared" si="2"/>
        <v>CobaltJiangxi Jiangwu Cobalt industrial Co., Ltd.</v>
      </c>
    </row>
    <row r="33" spans="1:28" s="171" customFormat="1" ht="27">
      <c r="A33" s="150" t="s">
        <v>126</v>
      </c>
      <c r="B33" s="150" t="s">
        <v>43</v>
      </c>
      <c r="C33" s="153" t="s">
        <v>125</v>
      </c>
      <c r="D33" s="150"/>
      <c r="E33" s="150" t="s">
        <v>71</v>
      </c>
      <c r="F33" s="150" t="s">
        <v>126</v>
      </c>
      <c r="G33" s="150" t="s">
        <v>12</v>
      </c>
      <c r="H33" s="208">
        <v>0</v>
      </c>
      <c r="I33" s="209" t="s">
        <v>127</v>
      </c>
      <c r="J33" s="209" t="s">
        <v>128</v>
      </c>
      <c r="K33" s="151"/>
      <c r="L33" s="151"/>
      <c r="M33" s="151"/>
      <c r="N33" s="151"/>
      <c r="O33" s="151"/>
      <c r="P33" s="211"/>
      <c r="Q33" s="152"/>
      <c r="R33" s="150" t="str">
        <f ca="1">IF(ISERROR($V33),"",OFFSET('Smelter Look-up'!$C$4,$V33-4,0)&amp;"")</f>
        <v>Guangdong Jiana Energy Technology Co., Ltd.</v>
      </c>
      <c r="S33" s="156" t="str">
        <f t="shared" ca="1" si="0"/>
        <v>CN</v>
      </c>
      <c r="T33" s="156" t="str">
        <f ca="1">IF(B33="","",IF(ISERROR(MATCH($J33,SorP!$B$1:$B$6226,0)),"",INDIRECT("'SorP'!$A$"&amp;MATCH($S33&amp;$J33,SorP!C:C,0))))</f>
        <v>CN-GD</v>
      </c>
      <c r="U33" s="169"/>
      <c r="V33" s="170">
        <f>IF(C33="",NA(),MATCH($B33&amp;$C33,'Smelter Look-up'!$J:$J,0))</f>
        <v>33</v>
      </c>
      <c r="X33" s="171">
        <f t="shared" si="1"/>
        <v>0</v>
      </c>
      <c r="AB33" s="171" t="str">
        <f t="shared" si="2"/>
        <v>CobaltGuangdong Jiana Energy Technology Co., Ltd.</v>
      </c>
    </row>
    <row r="34" spans="1:28" s="171" customFormat="1" ht="27">
      <c r="A34" s="150" t="s">
        <v>116</v>
      </c>
      <c r="B34" s="150" t="s">
        <v>43</v>
      </c>
      <c r="C34" s="153" t="s">
        <v>115</v>
      </c>
      <c r="D34" s="150"/>
      <c r="E34" s="150" t="s">
        <v>71</v>
      </c>
      <c r="F34" s="150" t="s">
        <v>116</v>
      </c>
      <c r="G34" s="150" t="s">
        <v>12</v>
      </c>
      <c r="H34" s="208">
        <v>0</v>
      </c>
      <c r="I34" s="209" t="s">
        <v>111</v>
      </c>
      <c r="J34" s="209" t="s">
        <v>112</v>
      </c>
      <c r="K34" s="151"/>
      <c r="L34" s="151"/>
      <c r="M34" s="151"/>
      <c r="N34" s="151"/>
      <c r="O34" s="151"/>
      <c r="P34" s="211"/>
      <c r="Q34" s="152"/>
      <c r="R34" s="150" t="str">
        <f ca="1">IF(ISERROR($V34),"",OFFSET('Smelter Look-up'!$C$4,$V34-4,0)&amp;"")</f>
        <v>Ganzhou Tengyuan Cobalt New Material Co., Ltd.</v>
      </c>
      <c r="S34" s="156" t="str">
        <f t="shared" ca="1" si="0"/>
        <v>CN</v>
      </c>
      <c r="T34" s="156" t="str">
        <f ca="1">IF(B34="","",IF(ISERROR(MATCH($J34,SorP!$B$1:$B$6226,0)),"",INDIRECT("'SorP'!$A$"&amp;MATCH($S34&amp;$J34,SorP!C:C,0))))</f>
        <v>CN-JX</v>
      </c>
      <c r="U34" s="169"/>
      <c r="V34" s="170">
        <f>IF(C34="",NA(),MATCH($B34&amp;$C34,'Smelter Look-up'!$J:$J,0))</f>
        <v>29</v>
      </c>
      <c r="X34" s="171">
        <f t="shared" si="1"/>
        <v>0</v>
      </c>
      <c r="AB34" s="171" t="str">
        <f t="shared" si="2"/>
        <v>CobaltGanzhou Tengyuan Cobalt New Material Co., Ltd.</v>
      </c>
    </row>
    <row r="35" spans="1:28" s="171" customFormat="1" ht="27">
      <c r="A35" s="150" t="s">
        <v>295</v>
      </c>
      <c r="B35" s="150" t="s">
        <v>43</v>
      </c>
      <c r="C35" s="153" t="s">
        <v>294</v>
      </c>
      <c r="D35" s="150"/>
      <c r="E35" s="150" t="s">
        <v>101</v>
      </c>
      <c r="F35" s="150" t="s">
        <v>295</v>
      </c>
      <c r="G35" s="150" t="s">
        <v>12</v>
      </c>
      <c r="H35" s="208">
        <v>0</v>
      </c>
      <c r="I35" s="209" t="s">
        <v>296</v>
      </c>
      <c r="J35" s="209" t="s">
        <v>297</v>
      </c>
      <c r="K35" s="151"/>
      <c r="L35" s="151"/>
      <c r="M35" s="151"/>
      <c r="N35" s="151"/>
      <c r="O35" s="151"/>
      <c r="P35" s="211"/>
      <c r="Q35" s="152"/>
      <c r="R35" s="150" t="str">
        <f ca="1">IF(ISERROR($V35),"",OFFSET('Smelter Look-up'!$C$4,$V35-4,0)&amp;"")</f>
        <v>Vale – Long Harbour Processing Plant (LHPP)</v>
      </c>
      <c r="S35" s="156" t="str">
        <f t="shared" ca="1" si="0"/>
        <v>CA</v>
      </c>
      <c r="T35" s="156" t="str">
        <f ca="1">IF(B35="","",IF(ISERROR(MATCH($J35,SorP!$B$1:$B$6226,0)),"",INDIRECT("'SorP'!$A$"&amp;MATCH($S35&amp;$J35,SorP!C:C,0))))</f>
        <v>CA-NL</v>
      </c>
      <c r="U35" s="169"/>
      <c r="V35" s="170">
        <f>IF(C35="",NA(),MATCH($B35&amp;$C35,'Smelter Look-up'!$J:$J,0))</f>
        <v>140</v>
      </c>
      <c r="X35" s="171">
        <f t="shared" si="1"/>
        <v>0</v>
      </c>
      <c r="AB35" s="171" t="str">
        <f t="shared" si="2"/>
        <v>CobaltVale – Long Harbour Processing Plant (LHPP)</v>
      </c>
    </row>
    <row r="36" spans="1:28" s="171" customFormat="1" ht="20">
      <c r="A36" s="150" t="s">
        <v>94</v>
      </c>
      <c r="B36" s="150" t="s">
        <v>43</v>
      </c>
      <c r="C36" s="153" t="s">
        <v>92</v>
      </c>
      <c r="D36" s="150"/>
      <c r="E36" s="150" t="s">
        <v>93</v>
      </c>
      <c r="F36" s="150" t="s">
        <v>94</v>
      </c>
      <c r="G36" s="150" t="s">
        <v>12</v>
      </c>
      <c r="H36" s="208">
        <v>0</v>
      </c>
      <c r="I36" s="209" t="s">
        <v>95</v>
      </c>
      <c r="J36" s="209" t="s">
        <v>95</v>
      </c>
      <c r="K36" s="151"/>
      <c r="L36" s="151"/>
      <c r="M36" s="151"/>
      <c r="N36" s="151"/>
      <c r="O36" s="151"/>
      <c r="P36" s="211"/>
      <c r="Q36" s="152"/>
      <c r="R36" s="150" t="str">
        <f ca="1">IF(ISERROR($V36),"",OFFSET('Smelter Look-up'!$C$4,$V36-4,0)&amp;"")</f>
        <v>Dynatec Madagascar Company</v>
      </c>
      <c r="S36" s="156" t="str">
        <f t="shared" ca="1" si="0"/>
        <v>MG</v>
      </c>
      <c r="T36" s="156" t="str">
        <f ca="1">IF(B36="","",IF(ISERROR(MATCH($J36,SorP!$B$1:$B$6226,0)),"",INDIRECT("'SorP'!$A$"&amp;MATCH($S36&amp;$J36,SorP!C:C,0))))</f>
        <v>MG-A</v>
      </c>
      <c r="U36" s="169"/>
      <c r="V36" s="170">
        <f>IF(C36="",NA(),MATCH($B36&amp;$C36,'Smelter Look-up'!$J:$J,0))</f>
        <v>16</v>
      </c>
      <c r="X36" s="171">
        <f t="shared" si="1"/>
        <v>0</v>
      </c>
      <c r="AB36" s="171" t="str">
        <f t="shared" si="2"/>
        <v>CobaltDynatec Madagascar Company</v>
      </c>
    </row>
    <row r="37" spans="1:28" s="171" customFormat="1" ht="20">
      <c r="A37" s="150" t="s">
        <v>231</v>
      </c>
      <c r="B37" s="150" t="s">
        <v>43</v>
      </c>
      <c r="C37" s="153" t="s">
        <v>230</v>
      </c>
      <c r="D37" s="150"/>
      <c r="E37" s="150" t="s">
        <v>77</v>
      </c>
      <c r="F37" s="150" t="s">
        <v>231</v>
      </c>
      <c r="G37" s="150" t="s">
        <v>12</v>
      </c>
      <c r="H37" s="208">
        <v>0</v>
      </c>
      <c r="I37" s="209" t="s">
        <v>232</v>
      </c>
      <c r="J37" s="209" t="s">
        <v>233</v>
      </c>
      <c r="K37" s="151"/>
      <c r="L37" s="151"/>
      <c r="M37" s="151"/>
      <c r="N37" s="151"/>
      <c r="O37" s="151"/>
      <c r="P37" s="211"/>
      <c r="Q37" s="152"/>
      <c r="R37" s="150" t="str">
        <f ca="1">IF(ISERROR($V37),"",OFFSET('Smelter Look-up'!$C$4,$V37-4,0)&amp;"")</f>
        <v>Mine de Bou-Azzer</v>
      </c>
      <c r="S37" s="156" t="str">
        <f t="shared" ca="1" si="0"/>
        <v>MA</v>
      </c>
      <c r="T37" s="156" t="str">
        <f ca="1">IF(B37="","",IF(ISERROR(MATCH($J37,SorP!$B$1:$B$6226,0)),"",INDIRECT("'SorP'!$A$"&amp;MATCH($S37&amp;$J37,SorP!C:C,0))))</f>
        <v>MA-08</v>
      </c>
      <c r="U37" s="169"/>
      <c r="V37" s="170">
        <f>IF(C37="",NA(),MATCH($B37&amp;$C37,'Smelter Look-up'!$J:$J,0))</f>
        <v>91</v>
      </c>
      <c r="X37" s="171">
        <f t="shared" si="1"/>
        <v>0</v>
      </c>
      <c r="AB37" s="171" t="str">
        <f t="shared" si="2"/>
        <v>CobaltMine de Bou-Azzer</v>
      </c>
    </row>
    <row r="38" spans="1:28" s="171" customFormat="1" ht="27">
      <c r="A38" s="150" t="s">
        <v>83</v>
      </c>
      <c r="B38" s="150" t="s">
        <v>43</v>
      </c>
      <c r="C38" s="153" t="s">
        <v>81</v>
      </c>
      <c r="D38" s="150"/>
      <c r="E38" s="150" t="s">
        <v>82</v>
      </c>
      <c r="F38" s="150" t="s">
        <v>83</v>
      </c>
      <c r="G38" s="150" t="s">
        <v>12</v>
      </c>
      <c r="H38" s="208">
        <v>0</v>
      </c>
      <c r="I38" s="209" t="s">
        <v>84</v>
      </c>
      <c r="J38" s="209" t="s">
        <v>85</v>
      </c>
      <c r="K38" s="151"/>
      <c r="L38" s="151"/>
      <c r="M38" s="151"/>
      <c r="N38" s="151"/>
      <c r="O38" s="151"/>
      <c r="P38" s="211"/>
      <c r="Q38" s="152"/>
      <c r="R38" s="150" t="str">
        <f ca="1">IF(ISERROR($V38),"",OFFSET('Smelter Look-up'!$C$4,$V38-4,0)&amp;"")</f>
        <v>CoreMax Corporation</v>
      </c>
      <c r="S38" s="156" t="str">
        <f t="shared" ca="1" si="0"/>
        <v>TW</v>
      </c>
      <c r="T38" s="156" t="str">
        <f ca="1">IF(B38="","",IF(ISERROR(MATCH($J38,SorP!$B$1:$B$6226,0)),"",INDIRECT("'SorP'!$A$"&amp;MATCH($S38&amp;$J38,SorP!C:C,0))))</f>
        <v>TW-MIA</v>
      </c>
      <c r="U38" s="169"/>
      <c r="V38" s="170">
        <f>IF(C38="",NA(),MATCH($B38&amp;$C38,'Smelter Look-up'!$J:$J,0))</f>
        <v>13</v>
      </c>
      <c r="X38" s="171">
        <f t="shared" si="1"/>
        <v>0</v>
      </c>
      <c r="AB38" s="171" t="str">
        <f t="shared" si="2"/>
        <v>CobaltCoreMax Corporation</v>
      </c>
    </row>
    <row r="39" spans="1:28" s="171" customFormat="1" ht="20">
      <c r="A39" s="150" t="s">
        <v>175</v>
      </c>
      <c r="B39" s="150" t="s">
        <v>43</v>
      </c>
      <c r="C39" s="153" t="s">
        <v>174</v>
      </c>
      <c r="D39" s="150"/>
      <c r="E39" s="150" t="s">
        <v>71</v>
      </c>
      <c r="F39" s="150" t="s">
        <v>175</v>
      </c>
      <c r="G39" s="150" t="s">
        <v>12</v>
      </c>
      <c r="H39" s="208">
        <v>0</v>
      </c>
      <c r="I39" s="209" t="s">
        <v>176</v>
      </c>
      <c r="J39" s="209" t="s">
        <v>177</v>
      </c>
      <c r="K39" s="151"/>
      <c r="L39" s="151"/>
      <c r="M39" s="151"/>
      <c r="N39" s="151"/>
      <c r="O39" s="151"/>
      <c r="P39" s="211"/>
      <c r="Q39" s="152"/>
      <c r="R39" s="150" t="str">
        <f ca="1">IF(ISERROR($V39),"",OFFSET('Smelter Look-up'!$C$4,$V39-4,0)&amp;"")</f>
        <v>Jingmen GEM Co., Ltd.</v>
      </c>
      <c r="S39" s="156" t="str">
        <f t="shared" ca="1" si="0"/>
        <v>CN</v>
      </c>
      <c r="T39" s="156" t="str">
        <f ca="1">IF(B39="","",IF(ISERROR(MATCH($J39,SorP!$B$1:$B$6226,0)),"",INDIRECT("'SorP'!$A$"&amp;MATCH($S39&amp;$J39,SorP!C:C,0))))</f>
        <v>CN-HB</v>
      </c>
      <c r="U39" s="169"/>
      <c r="V39" s="170">
        <f>IF(C39="",NA(),MATCH($B39&amp;$C39,'Smelter Look-up'!$J:$J,0))</f>
        <v>62</v>
      </c>
      <c r="X39" s="171">
        <f t="shared" si="1"/>
        <v>0</v>
      </c>
      <c r="AB39" s="171" t="str">
        <f t="shared" si="2"/>
        <v>CobaltJingmen GEM Co., Ltd.</v>
      </c>
    </row>
    <row r="40" spans="1:28" s="171" customFormat="1" ht="20">
      <c r="A40" s="150" t="s">
        <v>123</v>
      </c>
      <c r="B40" s="150" t="s">
        <v>43</v>
      </c>
      <c r="C40" s="153" t="s">
        <v>121</v>
      </c>
      <c r="D40" s="150"/>
      <c r="E40" s="150" t="s">
        <v>122</v>
      </c>
      <c r="F40" s="150" t="s">
        <v>123</v>
      </c>
      <c r="G40" s="150" t="s">
        <v>12</v>
      </c>
      <c r="H40" s="208">
        <v>0</v>
      </c>
      <c r="I40" s="209" t="s">
        <v>124</v>
      </c>
      <c r="J40" s="209" t="s">
        <v>19221</v>
      </c>
      <c r="K40" s="151"/>
      <c r="L40" s="151"/>
      <c r="M40" s="151"/>
      <c r="N40" s="151"/>
      <c r="O40" s="151"/>
      <c r="P40" s="211"/>
      <c r="Q40" s="152"/>
      <c r="R40" s="150" t="str">
        <f ca="1">IF(ISERROR($V40),"",OFFSET('Smelter Look-up'!$C$4,$V40-4,0)&amp;"")</f>
        <v>Glencore Nikkelverk Refinery</v>
      </c>
      <c r="S40" s="156" t="str">
        <f t="shared" ca="1" si="0"/>
        <v>NO</v>
      </c>
      <c r="T40" s="156" t="str">
        <f ca="1">IF(B40="","",IF(ISERROR(MATCH($J40,SorP!$B$1:$B$6226,0)),"",INDIRECT("'SorP'!$A$"&amp;MATCH($S40&amp;$J40,SorP!C:C,0))))</f>
        <v/>
      </c>
      <c r="U40" s="169"/>
      <c r="V40" s="170">
        <f>IF(C40="",NA(),MATCH($B40&amp;$C40,'Smelter Look-up'!$J:$J,0))</f>
        <v>31</v>
      </c>
      <c r="X40" s="171">
        <f t="shared" si="1"/>
        <v>0</v>
      </c>
      <c r="AB40" s="171" t="str">
        <f t="shared" si="2"/>
        <v>CobaltGlencore Nikkelverk Refinery</v>
      </c>
    </row>
    <row r="41" spans="1:28" s="171" customFormat="1" ht="20">
      <c r="A41" s="150" t="s">
        <v>88</v>
      </c>
      <c r="B41" s="150" t="s">
        <v>43</v>
      </c>
      <c r="C41" s="153" t="s">
        <v>86</v>
      </c>
      <c r="D41" s="150"/>
      <c r="E41" s="150" t="s">
        <v>87</v>
      </c>
      <c r="F41" s="150" t="s">
        <v>88</v>
      </c>
      <c r="G41" s="150" t="s">
        <v>12</v>
      </c>
      <c r="H41" s="208">
        <v>0</v>
      </c>
      <c r="I41" s="209" t="s">
        <v>89</v>
      </c>
      <c r="J41" s="209" t="s">
        <v>90</v>
      </c>
      <c r="K41" s="151"/>
      <c r="L41" s="151"/>
      <c r="M41" s="151"/>
      <c r="N41" s="151"/>
      <c r="O41" s="151"/>
      <c r="P41" s="211"/>
      <c r="Q41" s="152"/>
      <c r="R41" s="150" t="str">
        <f ca="1">IF(ISERROR($V41),"",OFFSET('Smelter Look-up'!$C$4,$V41-4,0)&amp;"")</f>
        <v>Cosmo Chemical, Ltd.</v>
      </c>
      <c r="S41" s="156" t="str">
        <f t="shared" ca="1" si="0"/>
        <v>KR</v>
      </c>
      <c r="T41" s="156" t="str">
        <f ca="1">IF(B41="","",IF(ISERROR(MATCH($J41,SorP!$B$1:$B$6226,0)),"",INDIRECT("'SorP'!$A$"&amp;MATCH($S41&amp;$J41,SorP!C:C,0))))</f>
        <v>KR-48</v>
      </c>
      <c r="U41" s="169"/>
      <c r="V41" s="170">
        <f>IF(C41="",NA(),MATCH($B41&amp;$C41,'Smelter Look-up'!$J:$J,0))</f>
        <v>14</v>
      </c>
      <c r="X41" s="171">
        <f t="shared" si="1"/>
        <v>0</v>
      </c>
      <c r="AB41" s="171" t="str">
        <f t="shared" si="2"/>
        <v>CobaltCosmo Chemical, Ltd.</v>
      </c>
    </row>
    <row r="42" spans="1:28" s="171" customFormat="1" ht="27">
      <c r="A42" s="150" t="s">
        <v>12717</v>
      </c>
      <c r="B42" s="150" t="s">
        <v>43</v>
      </c>
      <c r="C42" s="153" t="s">
        <v>12716</v>
      </c>
      <c r="D42" s="150"/>
      <c r="E42" s="150" t="s">
        <v>66</v>
      </c>
      <c r="F42" s="150" t="s">
        <v>12717</v>
      </c>
      <c r="G42" s="150" t="s">
        <v>12</v>
      </c>
      <c r="H42" s="208">
        <v>0</v>
      </c>
      <c r="I42" s="209" t="s">
        <v>185</v>
      </c>
      <c r="J42" s="209" t="s">
        <v>186</v>
      </c>
      <c r="K42" s="151"/>
      <c r="L42" s="151"/>
      <c r="M42" s="151"/>
      <c r="N42" s="151"/>
      <c r="O42" s="151"/>
      <c r="P42" s="211"/>
      <c r="Q42" s="152"/>
      <c r="R42" s="150" t="str">
        <f ca="1">IF(ISERROR($V42),"",OFFSET('Smelter Look-up'!$C$4,$V42-4,0)&amp;"")</f>
        <v>Mutanda Mining SPRL</v>
      </c>
      <c r="S42" s="156" t="str">
        <f t="shared" ca="1" si="0"/>
        <v>CD</v>
      </c>
      <c r="T42" s="156" t="str">
        <f ca="1">IF(B42="","",IF(ISERROR(MATCH($J42,SorP!$B$1:$B$6226,0)),"",INDIRECT("'SorP'!$A$"&amp;MATCH($S42&amp;$J42,SorP!C:C,0))))</f>
        <v>CD-LU</v>
      </c>
      <c r="U42" s="169"/>
      <c r="V42" s="170">
        <f>IF(C42="",NA(),MATCH($B42&amp;$C42,'Smelter Look-up'!$J:$J,0))</f>
        <v>96</v>
      </c>
      <c r="X42" s="171">
        <f t="shared" si="1"/>
        <v>0</v>
      </c>
      <c r="AB42" s="171" t="str">
        <f t="shared" si="2"/>
        <v>CobaltMutanda Mining SPRL</v>
      </c>
    </row>
    <row r="43" spans="1:28" s="171" customFormat="1" ht="20">
      <c r="A43" s="150" t="s">
        <v>108</v>
      </c>
      <c r="B43" s="150" t="s">
        <v>43</v>
      </c>
      <c r="C43" s="153" t="s">
        <v>106</v>
      </c>
      <c r="D43" s="150"/>
      <c r="E43" s="150" t="s">
        <v>107</v>
      </c>
      <c r="F43" s="150" t="s">
        <v>108</v>
      </c>
      <c r="G43" s="150" t="s">
        <v>12</v>
      </c>
      <c r="H43" s="208">
        <v>0</v>
      </c>
      <c r="I43" s="209" t="s">
        <v>109</v>
      </c>
      <c r="J43" s="209" t="s">
        <v>110</v>
      </c>
      <c r="K43" s="151"/>
      <c r="L43" s="151"/>
      <c r="M43" s="151"/>
      <c r="N43" s="151"/>
      <c r="O43" s="151"/>
      <c r="P43" s="211"/>
      <c r="Q43" s="152"/>
      <c r="R43" s="150" t="str">
        <f ca="1">IF(ISERROR($V43),"",OFFSET('Smelter Look-up'!$C$4,$V43-4,0)&amp;"")</f>
        <v>Umicore Finland Oy</v>
      </c>
      <c r="S43" s="156" t="str">
        <f t="shared" ca="1" si="0"/>
        <v>FI</v>
      </c>
      <c r="T43" s="156" t="str">
        <f ca="1">IF(B43="","",IF(ISERROR(MATCH($J43,SorP!$B$1:$B$6226,0)),"",INDIRECT("'SorP'!$A$"&amp;MATCH($S43&amp;$J43,SorP!C:C,0))))</f>
        <v>FI-07</v>
      </c>
      <c r="U43" s="169"/>
      <c r="V43" s="170">
        <f>IF(C43="",NA(),MATCH($B43&amp;$C43,'Smelter Look-up'!$J:$J,0))</f>
        <v>138</v>
      </c>
      <c r="X43" s="171">
        <f t="shared" si="1"/>
        <v>0</v>
      </c>
      <c r="AB43" s="171" t="str">
        <f t="shared" si="2"/>
        <v>CobaltUmicore Finland Oy</v>
      </c>
    </row>
    <row r="44" spans="1:28" s="171" customFormat="1" ht="20">
      <c r="A44" s="150" t="s">
        <v>314</v>
      </c>
      <c r="B44" s="150" t="s">
        <v>43</v>
      </c>
      <c r="C44" s="153" t="s">
        <v>313</v>
      </c>
      <c r="D44" s="150"/>
      <c r="E44" s="150" t="s">
        <v>71</v>
      </c>
      <c r="F44" s="150" t="s">
        <v>314</v>
      </c>
      <c r="G44" s="150" t="s">
        <v>12</v>
      </c>
      <c r="H44" s="208">
        <v>0</v>
      </c>
      <c r="I44" s="209" t="s">
        <v>315</v>
      </c>
      <c r="J44" s="209" t="s">
        <v>211</v>
      </c>
      <c r="K44" s="151"/>
      <c r="L44" s="151"/>
      <c r="M44" s="151"/>
      <c r="N44" s="151"/>
      <c r="O44" s="151"/>
      <c r="P44" s="211"/>
      <c r="Q44" s="152"/>
      <c r="R44" s="150" t="str">
        <f ca="1">IF(ISERROR($V44),"",OFFSET('Smelter Look-up'!$C$4,$V44-4,0)&amp;"")</f>
        <v>Zhejiang Huayou Cobalt Company Limited</v>
      </c>
      <c r="S44" s="156" t="str">
        <f t="shared" ca="1" si="0"/>
        <v>CN</v>
      </c>
      <c r="T44" s="156" t="str">
        <f ca="1">IF(B44="","",IF(ISERROR(MATCH($J44,SorP!$B$1:$B$6226,0)),"",INDIRECT("'SorP'!$A$"&amp;MATCH($S44&amp;$J44,SorP!C:C,0))))</f>
        <v>CN-ZJ</v>
      </c>
      <c r="U44" s="169"/>
      <c r="V44" s="170">
        <f>IF(C44="",NA(),MATCH($B44&amp;$C44,'Smelter Look-up'!$J:$J,0))</f>
        <v>151</v>
      </c>
      <c r="X44" s="171">
        <f t="shared" si="1"/>
        <v>0</v>
      </c>
      <c r="AB44" s="171" t="str">
        <f t="shared" si="2"/>
        <v>CobaltZhejiang Huayou Cobalt Company Limited</v>
      </c>
    </row>
    <row r="45" spans="1:28" s="171" customFormat="1" ht="27">
      <c r="A45" s="150" t="s">
        <v>250</v>
      </c>
      <c r="B45" s="150" t="s">
        <v>43</v>
      </c>
      <c r="C45" s="153" t="s">
        <v>12543</v>
      </c>
      <c r="D45" s="150"/>
      <c r="E45" s="150" t="s">
        <v>139</v>
      </c>
      <c r="F45" s="150" t="s">
        <v>250</v>
      </c>
      <c r="G45" s="150" t="s">
        <v>12</v>
      </c>
      <c r="H45" s="208">
        <v>0</v>
      </c>
      <c r="I45" s="209" t="s">
        <v>251</v>
      </c>
      <c r="J45" s="209" t="s">
        <v>252</v>
      </c>
      <c r="K45" s="151"/>
      <c r="L45" s="151"/>
      <c r="M45" s="151"/>
      <c r="N45" s="151"/>
      <c r="O45" s="151"/>
      <c r="P45" s="211"/>
      <c r="Q45" s="152"/>
      <c r="R45" s="150" t="str">
        <f ca="1">IF(ISERROR($V45),"",OFFSET('Smelter Look-up'!$C$4,$V45-4,0)&amp;"")</f>
        <v>Niihama Nickel Refinery, Sumitomo Metal Mining</v>
      </c>
      <c r="S45" s="156" t="str">
        <f t="shared" ca="1" si="0"/>
        <v>JP</v>
      </c>
      <c r="T45" s="156" t="str">
        <f ca="1">IF(B45="","",IF(ISERROR(MATCH($J45,SorP!$B$1:$B$6226,0)),"",INDIRECT("'SorP'!$A$"&amp;MATCH($S45&amp;$J45,SorP!C:C,0))))</f>
        <v>JP-38</v>
      </c>
      <c r="U45" s="169"/>
      <c r="V45" s="170">
        <f>IF(C45="",NA(),MATCH($B45&amp;$C45,'Smelter Look-up'!$J:$J,0))</f>
        <v>108</v>
      </c>
      <c r="X45" s="171">
        <f t="shared" si="1"/>
        <v>0</v>
      </c>
      <c r="AB45" s="171" t="str">
        <f t="shared" si="2"/>
        <v>CobaltNiihama Nickel Refinery, Sumitomo Metal Mining</v>
      </c>
    </row>
    <row r="46" spans="1:28" s="171" customFormat="1" ht="27">
      <c r="A46" s="150" t="s">
        <v>317</v>
      </c>
      <c r="B46" s="150" t="s">
        <v>43</v>
      </c>
      <c r="C46" s="153" t="s">
        <v>12552</v>
      </c>
      <c r="D46" s="150"/>
      <c r="E46" s="150" t="s">
        <v>71</v>
      </c>
      <c r="F46" s="150" t="s">
        <v>317</v>
      </c>
      <c r="G46" s="150" t="s">
        <v>12</v>
      </c>
      <c r="H46" s="208">
        <v>0</v>
      </c>
      <c r="I46" s="209" t="s">
        <v>210</v>
      </c>
      <c r="J46" s="209" t="s">
        <v>211</v>
      </c>
      <c r="K46" s="151"/>
      <c r="L46" s="151"/>
      <c r="M46" s="151"/>
      <c r="N46" s="151"/>
      <c r="O46" s="151"/>
      <c r="P46" s="211"/>
      <c r="Q46" s="152"/>
      <c r="R46" s="150" t="str">
        <f ca="1">IF(ISERROR($V46),"",OFFSET('Smelter Look-up'!$C$4,$V46-4,0)&amp;"")</f>
        <v>Zhejiang Greatpower Cobalt Materials Co., Ltd.</v>
      </c>
      <c r="S46" s="156" t="str">
        <f t="shared" ca="1" si="0"/>
        <v>CN</v>
      </c>
      <c r="T46" s="156" t="str">
        <f ca="1">IF(B46="","",IF(ISERROR(MATCH($J46,SorP!$B$1:$B$6226,0)),"",INDIRECT("'SorP'!$A$"&amp;MATCH($S46&amp;$J46,SorP!C:C,0))))</f>
        <v>CN-ZJ</v>
      </c>
      <c r="U46" s="169"/>
      <c r="V46" s="170">
        <f>IF(C46="",NA(),MATCH($B46&amp;$C46,'Smelter Look-up'!$J:$J,0))</f>
        <v>149</v>
      </c>
      <c r="X46" s="171">
        <f t="shared" si="1"/>
        <v>0</v>
      </c>
      <c r="AB46" s="171" t="str">
        <f t="shared" si="2"/>
        <v>CobaltZhejiang Greatpower Cobalt Materials Co., Ltd.</v>
      </c>
    </row>
    <row r="47" spans="1:28" s="171" customFormat="1" ht="20">
      <c r="A47" s="150" t="s">
        <v>259</v>
      </c>
      <c r="B47" s="150" t="s">
        <v>43</v>
      </c>
      <c r="C47" s="153" t="s">
        <v>258</v>
      </c>
      <c r="D47" s="150"/>
      <c r="E47" s="150" t="s">
        <v>107</v>
      </c>
      <c r="F47" s="150" t="s">
        <v>259</v>
      </c>
      <c r="G47" s="150" t="s">
        <v>12</v>
      </c>
      <c r="H47" s="208">
        <v>0</v>
      </c>
      <c r="I47" s="209" t="s">
        <v>260</v>
      </c>
      <c r="J47" s="209" t="s">
        <v>261</v>
      </c>
      <c r="K47" s="151"/>
      <c r="L47" s="151"/>
      <c r="M47" s="151"/>
      <c r="N47" s="151"/>
      <c r="O47" s="151"/>
      <c r="P47" s="211"/>
      <c r="Q47" s="152"/>
      <c r="R47" s="150" t="str">
        <f ca="1">IF(ISERROR($V47),"",OFFSET('Smelter Look-up'!$C$4,$V47-4,0)&amp;"")</f>
        <v>NORILSK NICKEL HARJAVALTA OY</v>
      </c>
      <c r="S47" s="156" t="str">
        <f t="shared" ca="1" si="0"/>
        <v>FI</v>
      </c>
      <c r="T47" s="156" t="str">
        <f ca="1">IF(B47="","",IF(ISERROR(MATCH($J47,SorP!$B$1:$B$6226,0)),"",INDIRECT("'SorP'!$A$"&amp;MATCH($S47&amp;$J47,SorP!C:C,0))))</f>
        <v>FI-17</v>
      </c>
      <c r="U47" s="169"/>
      <c r="V47" s="170">
        <f>IF(C47="",NA(),MATCH($B47&amp;$C47,'Smelter Look-up'!$J:$J,0))</f>
        <v>111</v>
      </c>
      <c r="X47" s="171">
        <f t="shared" si="1"/>
        <v>0</v>
      </c>
      <c r="AB47" s="171" t="str">
        <f t="shared" si="2"/>
        <v>CobaltNORILSK NICKEL HARJAVALTA OY</v>
      </c>
    </row>
    <row r="48" spans="1:28" s="171" customFormat="1" ht="20">
      <c r="A48" s="150" t="s">
        <v>263</v>
      </c>
      <c r="B48" s="150" t="s">
        <v>43</v>
      </c>
      <c r="C48" s="153" t="s">
        <v>262</v>
      </c>
      <c r="D48" s="150"/>
      <c r="E48" s="150" t="s">
        <v>101</v>
      </c>
      <c r="F48" s="150" t="s">
        <v>263</v>
      </c>
      <c r="G48" s="150" t="s">
        <v>12</v>
      </c>
      <c r="H48" s="208">
        <v>0</v>
      </c>
      <c r="I48" s="209" t="s">
        <v>264</v>
      </c>
      <c r="J48" s="209" t="s">
        <v>104</v>
      </c>
      <c r="K48" s="151"/>
      <c r="L48" s="151"/>
      <c r="M48" s="151"/>
      <c r="N48" s="151"/>
      <c r="O48" s="151"/>
      <c r="P48" s="211"/>
      <c r="Q48" s="152"/>
      <c r="R48" s="150" t="str">
        <f ca="1">IF(ISERROR($V48),"",OFFSET('Smelter Look-up'!$C$4,$V48-4,0)&amp;"")</f>
        <v>Port Colborne Refinery</v>
      </c>
      <c r="S48" s="156" t="str">
        <f t="shared" ca="1" si="0"/>
        <v>CA</v>
      </c>
      <c r="T48" s="156" t="str">
        <f ca="1">IF(B48="","",IF(ISERROR(MATCH($J48,SorP!$B$1:$B$6226,0)),"",INDIRECT("'SorP'!$A$"&amp;MATCH($S48&amp;$J48,SorP!C:C,0))))</f>
        <v>CA-ON</v>
      </c>
      <c r="U48" s="169"/>
      <c r="V48" s="170">
        <f>IF(C48="",NA(),MATCH($B48&amp;$C48,'Smelter Look-up'!$J:$J,0))</f>
        <v>113</v>
      </c>
      <c r="X48" s="171">
        <f t="shared" si="1"/>
        <v>0</v>
      </c>
      <c r="AB48" s="171" t="str">
        <f t="shared" si="2"/>
        <v>CobaltPort Colborne Refinery</v>
      </c>
    </row>
    <row r="49" spans="1:28" s="171" customFormat="1" ht="20">
      <c r="A49" s="150" t="s">
        <v>239</v>
      </c>
      <c r="B49" s="150" t="s">
        <v>43</v>
      </c>
      <c r="C49" s="153" t="s">
        <v>238</v>
      </c>
      <c r="D49" s="150"/>
      <c r="E49" s="150" t="s">
        <v>71</v>
      </c>
      <c r="F49" s="150" t="s">
        <v>239</v>
      </c>
      <c r="G49" s="150" t="s">
        <v>12</v>
      </c>
      <c r="H49" s="208">
        <v>0</v>
      </c>
      <c r="I49" s="209" t="s">
        <v>240</v>
      </c>
      <c r="J49" s="209" t="s">
        <v>120</v>
      </c>
      <c r="K49" s="151"/>
      <c r="L49" s="151"/>
      <c r="M49" s="151"/>
      <c r="N49" s="151"/>
      <c r="O49" s="151"/>
      <c r="P49" s="211"/>
      <c r="Q49" s="152"/>
      <c r="R49" s="150" t="str">
        <f ca="1">IF(ISERROR($V49),"",OFFSET('Smelter Look-up'!$C$4,$V49-4,0)&amp;"")</f>
        <v>Nanjing Hanrui Cobalt</v>
      </c>
      <c r="S49" s="156" t="str">
        <f t="shared" ca="1" si="0"/>
        <v>CN</v>
      </c>
      <c r="T49" s="156" t="str">
        <f ca="1">IF(B49="","",IF(ISERROR(MATCH($J49,SorP!$B$1:$B$6226,0)),"",INDIRECT("'SorP'!$A$"&amp;MATCH($S49&amp;$J49,SorP!C:C,0))))</f>
        <v>CN-JS</v>
      </c>
      <c r="U49" s="169"/>
      <c r="V49" s="170">
        <f>IF(C49="",NA(),MATCH($B49&amp;$C49,'Smelter Look-up'!$J:$J,0))</f>
        <v>101</v>
      </c>
      <c r="X49" s="171">
        <f t="shared" si="1"/>
        <v>0</v>
      </c>
      <c r="AB49" s="171" t="str">
        <f t="shared" si="2"/>
        <v>CobaltNanjing Hanrui Cobalt</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5"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1">
    <cfRule type="expression" priority="69">
      <formula>$A$5:$Q1994&lt;&gt;""</formula>
    </cfRule>
  </conditionalFormatting>
  <conditionalFormatting sqref="B50:B2499">
    <cfRule type="expression" dxfId="66" priority="47" stopIfTrue="1">
      <formula>IF(B50="",TRUE)</formula>
    </cfRule>
  </conditionalFormatting>
  <conditionalFormatting sqref="C19:C2499">
    <cfRule type="expression" dxfId="65" priority="54" stopIfTrue="1">
      <formula>IF(AND(B19&lt;&gt;"",C19=""),TRUE)</formula>
    </cfRule>
  </conditionalFormatting>
  <conditionalFormatting sqref="D50:D2499">
    <cfRule type="expression" dxfId="64" priority="56" stopIfTrue="1">
      <formula>IF(AND(D50="",$C50=$X$4),TRUE)</formula>
    </cfRule>
    <cfRule type="expression" dxfId="63" priority="57" stopIfTrue="1">
      <formula>IF(FIND("!",D50),TRUE)</formula>
    </cfRule>
  </conditionalFormatting>
  <conditionalFormatting sqref="E19:E2499">
    <cfRule type="expression" dxfId="62" priority="49" stopIfTrue="1">
      <formula>IF(FIND("!",E19),TRUE)</formula>
    </cfRule>
    <cfRule type="expression" dxfId="61" priority="50" stopIfTrue="1">
      <formula>IF(AND(E19="",$C19=$X$4),TRUE)</formula>
    </cfRule>
  </conditionalFormatting>
  <conditionalFormatting sqref="F19:F2499 A19:A49">
    <cfRule type="expression" dxfId="60" priority="51" stopIfTrue="1">
      <formula>IF(AND(LEN($A19)&gt;0,$A19&lt;&gt;$F19),TRUE,FALSE)</formula>
    </cfRule>
  </conditionalFormatting>
  <conditionalFormatting sqref="G50:G2499">
    <cfRule type="expression" dxfId="59" priority="52" stopIfTrue="1">
      <formula>IF(FIND("Enter smelter details",G50),TRUE)</formula>
    </cfRule>
  </conditionalFormatting>
  <conditionalFormatting sqref="B19:B49">
    <cfRule type="expression" dxfId="58" priority="25" stopIfTrue="1">
      <formula>IF(B19="",TRUE)</formula>
    </cfRule>
  </conditionalFormatting>
  <conditionalFormatting sqref="D19:D49">
    <cfRule type="expression" dxfId="57" priority="23" stopIfTrue="1">
      <formula>IF(AND(LEN($C19) &gt;0, ($C19 &lt;&gt; "Smelter Not Listed")),1,0)</formula>
    </cfRule>
    <cfRule type="expression" dxfId="56" priority="26" stopIfTrue="1">
      <formula>IF(AND(D19="",$C19=$X$4),TRUE)</formula>
    </cfRule>
    <cfRule type="expression" dxfId="55" priority="27" stopIfTrue="1">
      <formula>IF(FIND("!",D19),TRUE)</formula>
    </cfRule>
  </conditionalFormatting>
  <conditionalFormatting sqref="G19:G49">
    <cfRule type="expression" dxfId="54" priority="22" stopIfTrue="1">
      <formula>IF(FIND("Enter smelter details",G19),TRUE)</formula>
    </cfRule>
  </conditionalFormatting>
  <conditionalFormatting sqref="B5:B16">
    <cfRule type="expression" dxfId="53" priority="13" stopIfTrue="1">
      <formula>IF(B5="",TRUE)</formula>
    </cfRule>
  </conditionalFormatting>
  <conditionalFormatting sqref="D5:D16">
    <cfRule type="expression" dxfId="52" priority="11" stopIfTrue="1">
      <formula>IF(AND(LEN($C5) &gt;0, ($C5 &lt;&gt; "Smelter Not Listed")),1,0)</formula>
    </cfRule>
    <cfRule type="expression" dxfId="51" priority="16" stopIfTrue="1">
      <formula>IF(AND(D5="",$C5=$X$4),TRUE)</formula>
    </cfRule>
    <cfRule type="expression" dxfId="50" priority="17" stopIfTrue="1">
      <formula>IF(FIND("!",D5),TRUE)</formula>
    </cfRule>
  </conditionalFormatting>
  <conditionalFormatting sqref="G5:G16">
    <cfRule type="expression" dxfId="49" priority="18" stopIfTrue="1">
      <formula>IF(FIND("Enter smelter details",G5),TRUE)</formula>
    </cfRule>
  </conditionalFormatting>
  <conditionalFormatting sqref="E5:E16">
    <cfRule type="expression" dxfId="48" priority="14" stopIfTrue="1">
      <formula>IF(AND(E5="",$C5=$X$4),TRUE)</formula>
    </cfRule>
    <cfRule type="expression" dxfId="47" priority="15" stopIfTrue="1">
      <formula>IF(FIND("!",E5),TRUE)</formula>
    </cfRule>
  </conditionalFormatting>
  <conditionalFormatting sqref="F5:F16">
    <cfRule type="expression" dxfId="46" priority="12" stopIfTrue="1">
      <formula>IF(AND(LEN($A5)&gt;0,$A5&lt;&gt;$F5),TRUE,FALSE)</formula>
    </cfRule>
  </conditionalFormatting>
  <conditionalFormatting sqref="C5:C16">
    <cfRule type="expression" dxfId="45" priority="10" stopIfTrue="1">
      <formula>IF(AND(#REF!&lt;&gt;"",C5=""),TRUE)</formula>
    </cfRule>
  </conditionalFormatting>
  <conditionalFormatting sqref="B17:B18">
    <cfRule type="expression" dxfId="44" priority="7" stopIfTrue="1">
      <formula>IF(B17="",TRUE)</formula>
    </cfRule>
  </conditionalFormatting>
  <conditionalFormatting sqref="C17:C18">
    <cfRule type="expression" dxfId="43" priority="6" stopIfTrue="1">
      <formula>IF(AND(B17&lt;&gt;"",C17=""),TRUE)</formula>
    </cfRule>
  </conditionalFormatting>
  <conditionalFormatting sqref="D17:D18">
    <cfRule type="expression" dxfId="42" priority="5" stopIfTrue="1">
      <formula>IF(AND(LEN($C17) &gt;0, ($C17 &lt;&gt; "Smelter Not Listed")),1,0)</formula>
    </cfRule>
    <cfRule type="expression" dxfId="41" priority="8" stopIfTrue="1">
      <formula>IF(AND(D17="",$C17=$X$4),TRUE)</formula>
    </cfRule>
    <cfRule type="expression" dxfId="40" priority="9" stopIfTrue="1">
      <formula>IF(FIND("!",D17),TRUE)</formula>
    </cfRule>
  </conditionalFormatting>
  <conditionalFormatting sqref="E17:E18">
    <cfRule type="expression" dxfId="39" priority="1" stopIfTrue="1">
      <formula>IF(FIND("!",E17),TRUE)</formula>
    </cfRule>
    <cfRule type="expression" dxfId="38" priority="2" stopIfTrue="1">
      <formula>IF(AND(E17="",$C17=$X$4),TRUE)</formula>
    </cfRule>
  </conditionalFormatting>
  <conditionalFormatting sqref="F17:F18">
    <cfRule type="expression" dxfId="37" priority="3" stopIfTrue="1">
      <formula>IF(AND(LEN($A17)&gt;0,$A17&lt;&gt;$F17),TRUE,FALSE)</formula>
    </cfRule>
  </conditionalFormatting>
  <conditionalFormatting sqref="G17:G18">
    <cfRule type="expression" dxfId="36" priority="4" stopIfTrue="1">
      <formula>IF(FIND("Enter smelter details",G17),TRUE)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55" stopIfTrue="1" id="{00000000-000E-0000-0400-000007000000}">
            <xm:f>IF(OR(AND(B50="Cobalt",Declaration!$P$38=""),AND(B50="Mica",Declaration!$P$39="")),TRUE,FALSE)</xm:f>
            <x14:dxf>
              <fill>
                <patternFill>
                  <bgColor rgb="FFFF0000"/>
                </patternFill>
              </fill>
            </x14:dxf>
          </x14:cfRule>
          <xm:sqref>B50:B2499</xm:sqref>
        </x14:conditionalFormatting>
        <x14:conditionalFormatting xmlns:xm="http://schemas.microsoft.com/office/excel/2006/main">
          <x14:cfRule type="expression" priority="48" stopIfTrue="1" id="{2D2FFC25-5E42-4ADA-A6DD-27F3157E1B1E}">
            <xm:f>IF(OR(AND(B50="Cobalt",Declaration!$P$38=""),AND(B50="Mica",Declaration!$P$39="")),TRUE,FALSE)</xm:f>
            <x14:dxf>
              <fill>
                <patternFill>
                  <bgColor rgb="FFFF0000"/>
                </patternFill>
              </fill>
            </x14:dxf>
          </x14:cfRule>
          <xm:sqref>C50:C2499</xm:sqref>
        </x14:conditionalFormatting>
        <x14:conditionalFormatting xmlns:xm="http://schemas.microsoft.com/office/excel/2006/main">
          <x14:cfRule type="expression" priority="53" stopIfTrue="1" id="{00000000-000E-0000-0400-000007000000}">
            <xm:f>IF(OR(OR(AND(B50="Cobalt",Declaration!$P$38=""),AND(B50="Mica",Declaration!$P$39="")),AND(LEN($C50)&gt;0,AND($C50&lt;&gt;"Smelter Not Listed",ISBLANK($D50)))),TRUE)</xm:f>
            <x14:dxf>
              <fill>
                <patternFill>
                  <bgColor theme="0" tint="-0.3498947111423078"/>
                </patternFill>
              </fill>
            </x14:dxf>
          </x14:cfRule>
          <xm:sqref>D50:D2499</xm:sqref>
        </x14:conditionalFormatting>
        <x14:conditionalFormatting xmlns:xm="http://schemas.microsoft.com/office/excel/2006/main">
          <x14:cfRule type="expression" priority="46" stopIfTrue="1" id="{E104F46E-1F0A-42C3-90DB-E1A66BE36AD5}">
            <xm:f>IF(OR(AND(B50="Cobalt",Declaration!$P$38=""),AND(B50="Mica",Declaration!$P$39="")),TRUE)</xm:f>
            <x14:dxf>
              <fill>
                <patternFill>
                  <bgColor theme="0" tint="-0.3498947111423078"/>
                </patternFill>
              </fill>
            </x14:dxf>
          </x14:cfRule>
          <xm:sqref>E50:E2499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411" t="str">
        <f ca="1">OFFSET(L!$C$1,MATCH("Checker"&amp;ADDRESS(ROW(),COLUMN(),4),L!$A:$A,0)-1,SL,,)</f>
        <v>To ensure all required fields have been populated before submitting to your customers review form for any line items highlighted in red</v>
      </c>
      <c r="B1" s="411"/>
      <c r="C1" s="41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Arnold Magnetic Technologies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Christopher Bacon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cbacon@arnoldmagnetics.com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585-385-9010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Michelle Mikiewicz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mmikiewicz@arnoldmagnetics.com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585-385-9010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45516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DRC only</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t="str">
        <f>Declaration!D50</f>
        <v>Greater than 75%</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t="str">
        <f>Declaration!G71</f>
        <v>We publicize our CMRT and EMRT templates @ www.arnoldmagnetics.com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List'!AB$5:AB$2499,"Mica?*")&gt;0),0,1)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13" t="str">
        <f ca="1">OFFSET(L!$C$1,MATCH("Product List"&amp;ADDRESS(ROW(),COLUMN(),4),L!$A:$A,0)-1,SL,,)</f>
        <v>Completion required only if reporting level "Product (or List of Products)" selected on the 'Declaration' worksheet.</v>
      </c>
      <c r="B1" s="414"/>
      <c r="C1" s="414"/>
      <c r="D1" s="414"/>
      <c r="E1" s="108"/>
    </row>
    <row r="2" spans="1:35">
      <c r="A2" s="20"/>
      <c r="B2" s="110"/>
      <c r="C2" s="110"/>
      <c r="D2"/>
      <c r="E2" s="21"/>
    </row>
    <row r="3" spans="1:35">
      <c r="A3" s="20"/>
      <c r="B3" s="110"/>
      <c r="C3" s="110"/>
      <c r="D3" s="110"/>
      <c r="E3" s="21"/>
    </row>
    <row r="4" spans="1:35" ht="15.75" customHeight="1">
      <c r="A4" s="20"/>
      <c r="B4" s="412" t="s">
        <v>50</v>
      </c>
      <c r="C4" s="412"/>
      <c r="D4" s="41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15" t="str">
        <f ca="1">OFFSET(L!$C$1,MATCH("General"&amp;"Cpy",L!$A:$A,0)-1,SL,,)</f>
        <v>© 2024 Responsible Minerals Initiative. All rights reserved.</v>
      </c>
      <c r="C1001" s="415"/>
      <c r="D1001" s="415"/>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41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6"/>
      <c r="C1" s="416"/>
      <c r="D1" s="416"/>
      <c r="E1" s="416"/>
      <c r="F1" s="416"/>
      <c r="G1" s="416"/>
    </row>
    <row r="2" spans="1:13">
      <c r="A2" s="417"/>
      <c r="B2" s="417"/>
      <c r="C2" s="417"/>
      <c r="D2" s="417"/>
      <c r="E2" s="417"/>
      <c r="F2" s="417"/>
      <c r="G2" s="417"/>
      <c r="H2" s="417"/>
      <c r="I2" s="417"/>
    </row>
    <row r="3" spans="1:13">
      <c r="A3" s="417"/>
      <c r="B3" s="417"/>
      <c r="C3" s="417"/>
      <c r="D3" s="417"/>
      <c r="E3" s="417"/>
      <c r="F3" s="417"/>
      <c r="G3" s="417"/>
      <c r="H3" s="417"/>
      <c r="I3" s="41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9" width="51.4609375" style="189" customWidth="1"/>
    <col min="10" max="16384" width="8.765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62">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3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a54701f6-876b-4337-a24e-543e1bd311e6"/>
    <ds:schemaRef ds:uri="http://schemas.microsoft.com/office/2006/documentManagement/types"/>
    <ds:schemaRef ds:uri="http://purl.org/dc/terms/"/>
    <ds:schemaRef ds:uri="1b346dad-8a15-4ce7-a19a-07d981b0c5e2"/>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Bacon</cp:lastModifiedBy>
  <cp:revision/>
  <dcterms:created xsi:type="dcterms:W3CDTF">2010-06-21T21:00:23Z</dcterms:created>
  <dcterms:modified xsi:type="dcterms:W3CDTF">2024-09-25T18:36:36Z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